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Dyg0he6BjscU+yoN9PF3T/WFjhU1MecbDZHUYo6m+DFgL83t7ljjhOO1oaN8IFN5KUDI0EbBbdXbpsuxodzlw==" workbookSaltValue="yTKDVs9Kghih7OUk3mvJ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AO16" i="11" s="1"/>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AL10" i="11"/>
  <c r="N10" i="11"/>
  <c r="N9" i="11"/>
  <c r="F10" i="10"/>
  <c r="N11" i="11"/>
  <c r="ES19" i="8"/>
  <c r="S19" i="13"/>
  <c r="AG19" i="19"/>
  <c r="F9" i="11"/>
  <c r="CI19" i="8"/>
  <c r="F17" i="16"/>
  <c r="BL17" i="16" s="1"/>
  <c r="EP19" i="8"/>
  <c r="ER19" i="13"/>
  <c r="AL13" i="16"/>
  <c r="BL9" i="11"/>
  <c r="P17" i="17"/>
  <c r="BK9" i="11"/>
  <c r="S13" i="16"/>
  <c r="H18" i="16"/>
  <c r="P13" i="16"/>
  <c r="AN13" i="20"/>
  <c r="F15" i="17"/>
  <c r="Z13" i="17"/>
  <c r="F17" i="17"/>
  <c r="AQ17" i="17" s="1"/>
  <c r="AO17" i="11"/>
  <c r="M13" i="2"/>
  <c r="N13" i="2"/>
  <c r="AO12" i="11"/>
  <c r="B12" i="6"/>
  <c r="H13" i="12"/>
  <c r="T19" i="8"/>
  <c r="T13" i="12"/>
  <c r="BM12" i="11"/>
  <c r="BJ15" i="11"/>
  <c r="R17" i="20"/>
  <c r="R18" i="20" s="1"/>
  <c r="AZ15" i="11"/>
  <c r="AZ18" i="11" s="1"/>
  <c r="BV12" i="16"/>
  <c r="U10" i="17"/>
  <c r="AA16" i="16"/>
  <c r="T16" i="11"/>
  <c r="BI9" i="11"/>
  <c r="BH11" i="11"/>
  <c r="BH12" i="16"/>
  <c r="S19" i="8"/>
  <c r="AY18" i="8"/>
  <c r="BF15" i="8"/>
  <c r="AZ18" i="13"/>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17" i="6"/>
  <c r="C17" i="6"/>
  <c r="AW18" i="21"/>
  <c r="B16" i="6"/>
  <c r="C18" i="7"/>
  <c r="B18" i="2"/>
  <c r="AB19" i="8"/>
  <c r="AO12" i="17"/>
  <c r="Z19" i="8"/>
  <c r="AY13" i="8"/>
  <c r="AY19" i="8" s="1"/>
  <c r="BG10" i="8"/>
  <c r="K10" i="7" s="1"/>
  <c r="T10" i="21"/>
  <c r="V10" i="21" s="1"/>
  <c r="E11" i="6"/>
  <c r="L12" i="14"/>
  <c r="M18" i="2"/>
  <c r="N18" i="2"/>
  <c r="F9" i="2"/>
  <c r="H12" i="2"/>
  <c r="AL11" i="11"/>
  <c r="B9" i="6"/>
  <c r="C10" i="6"/>
  <c r="BD15" i="8"/>
  <c r="H15" i="7" s="1"/>
  <c r="BE15" i="8"/>
  <c r="BG16" i="8"/>
  <c r="E18" i="2"/>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K16" i="12"/>
  <c r="D19" i="12"/>
  <c r="P12" i="11"/>
  <c r="H13" i="2"/>
  <c r="F19" i="7"/>
  <c r="I10" i="12"/>
  <c r="K10" i="12"/>
  <c r="AM13" i="11"/>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<sst xmlns="http://schemas.openxmlformats.org/spreadsheetml/2006/main" count="2102" uniqueCount="918">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</sst>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BmTDBYYP1rXnkCM1JmUlyA+Ueu8vfuyC9tFgdJCAMRLSe8iIXMD8wQsUfeHUknAwRxdmOJJFvPwOQBLKj8/wg==" saltValue="ZkgSzVXmUTfZvyPtHb/q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9.1460674157303377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1328</v>
      </c>
      <c r="D16" s="224">
        <f>IF(ISNUMBER(IF(D_I="SI",Datos!I16,Datos!I16+Datos!AC16)),IF(D_I="SI",Datos!I16,Datos!I16+Datos!AC16)," - ")</f>
        <v>1328</v>
      </c>
      <c r="E16" s="225">
        <f>IF(ISNUMBER(IF(D_I="SI",Datos!J16,Datos!J16+Datos!AD16)),IF(D_I="SI",Datos!J16,Datos!J16+Datos!AD16)," - ")</f>
        <v>3285</v>
      </c>
      <c r="F16" s="225">
        <f>IF(ISNUMBER(IF(D_I="SI",Datos!K16,Datos!K16+Datos!AE16)),IF(D_I="SI",Datos!K16,Datos!K16+Datos!AE16)," - ")</f>
        <v>2788</v>
      </c>
      <c r="G16" s="1033" t="str">
        <f>IF(Datos!E16&lt;&gt;"",Datos!E16,Datos!D16)</f>
        <v>04</v>
      </c>
      <c r="H16" s="226">
        <f>IF(ISNUMBER(IF(D_I="SI",Datos!L16,Datos!L16+Datos!AF16)),IF(D_I="SI",Datos!L16,Datos!L16+Datos!AF16)," - ")</f>
        <v>1825</v>
      </c>
      <c r="I16" s="1043" t="str">
        <f>IF(ISNUMBER(Datos!AS16/Datos!BM16),Datos!AS16/Datos!BM16," - ")</f>
        <v xml:space="preserve"> - </v>
      </c>
      <c r="J16" s="1044">
        <f>IF(ISNUMBER(Datos!BY16/Datos!CN16),Datos!BY16/Datos!CN16," - ")</f>
        <v>0</v>
      </c>
      <c r="K16" s="229">
        <f t="shared" si="3"/>
        <v>0.37424698795180722</v>
      </c>
      <c r="L16" s="1024">
        <f>IF(ISNUMBER(NºAsuntos!I16/NºAsuntos!G16),(NºAsuntos!I16/NºAsuntos!G16)*11," - ")</f>
        <v>7.2005021520803441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1330</v>
      </c>
      <c r="D18" s="1048">
        <f>SUBTOTAL(9,D15:D17)</f>
        <v>1330</v>
      </c>
      <c r="E18" s="1049">
        <f>SUBTOTAL(9,E15:E17)</f>
        <v>3285</v>
      </c>
      <c r="F18" s="1049">
        <f>SUBTOTAL(9,F15:F17)</f>
        <v>2790</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1330</v>
      </c>
      <c r="D19" s="1070">
        <f>SUBTOTAL(9,D9:D18)</f>
        <v>1330</v>
      </c>
      <c r="E19" s="1071">
        <f>SUBTOTAL(9,E9:E18)</f>
        <v>3285</v>
      </c>
      <c r="F19" s="1071">
        <f>SUBTOTAL(9,F9:F18)</f>
        <v>2790</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cow7KsQLGxIa5YWCCNoS3JIC2Xr/e+6MLgdqe1Pjj4EF1L54AnD5E2dqVZ3eGcYbIZud+izq9ef5V+fYLElXw==" saltValue="quzsG7YZfe3dS6VMjjL5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1eqpLw/ht3q3BzKfXOR/UPPCEoDXAgRdTkSDS/FQN6XHXQIcUDM193G6N7dsNpfdRdChLcz6i4dO3eJXP47tA==" saltValue="lEnKERIcpaInZMfZBymd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17</v>
      </c>
      <c r="O10" s="180">
        <v>20</v>
      </c>
      <c r="P10" s="180">
        <v>0</v>
      </c>
      <c r="Q10" s="180">
        <v>37</v>
      </c>
      <c r="R10" s="180">
        <v>8</v>
      </c>
      <c r="S10" s="180">
        <v>4</v>
      </c>
      <c r="T10" s="180">
        <v>0</v>
      </c>
      <c r="U10" s="180">
        <v>0</v>
      </c>
      <c r="V10" s="180">
        <v>0</v>
      </c>
      <c r="W10" s="180">
        <v>0</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3446</v>
      </c>
      <c r="J12" s="182">
        <v>4467</v>
      </c>
      <c r="K12" s="182">
        <v>4317</v>
      </c>
      <c r="L12" s="182">
        <v>3596</v>
      </c>
      <c r="M12" s="182">
        <v>1672</v>
      </c>
      <c r="N12" s="182">
        <v>1571</v>
      </c>
      <c r="O12" s="180">
        <v>1548</v>
      </c>
      <c r="P12" s="182">
        <v>790</v>
      </c>
      <c r="Q12" s="182">
        <v>262</v>
      </c>
      <c r="R12" s="182">
        <v>3995</v>
      </c>
      <c r="S12" s="182">
        <v>3136</v>
      </c>
      <c r="T12" s="182">
        <v>5062</v>
      </c>
      <c r="U12" s="182">
        <v>4621</v>
      </c>
      <c r="V12" s="182">
        <v>3446</v>
      </c>
      <c r="W12" s="182">
        <v>1668</v>
      </c>
      <c r="X12" s="188">
        <v>1466</v>
      </c>
      <c r="Y12" s="190">
        <v>39</v>
      </c>
      <c r="Z12" s="180">
        <v>361</v>
      </c>
      <c r="AA12" s="180">
        <v>222</v>
      </c>
      <c r="AB12" s="180">
        <v>178</v>
      </c>
      <c r="AC12" s="182">
        <v>0</v>
      </c>
      <c r="AD12" s="182">
        <v>0</v>
      </c>
      <c r="AE12" s="182">
        <v>0</v>
      </c>
      <c r="AF12" s="188">
        <v>0</v>
      </c>
      <c r="AG12" s="201">
        <v>53</v>
      </c>
      <c r="AH12" s="182">
        <v>220</v>
      </c>
      <c r="AI12" s="182">
        <v>244</v>
      </c>
      <c r="AJ12" s="202">
        <v>39</v>
      </c>
      <c r="AK12" s="181">
        <v>0</v>
      </c>
      <c r="AL12" s="182">
        <v>0</v>
      </c>
      <c r="AM12" s="182">
        <v>0</v>
      </c>
      <c r="AN12" s="188">
        <v>0</v>
      </c>
      <c r="AO12" s="258">
        <v>3</v>
      </c>
      <c r="AP12" s="154">
        <v>3</v>
      </c>
      <c r="AQ12" s="154">
        <v>3</v>
      </c>
      <c r="AR12" s="153">
        <v>3</v>
      </c>
      <c r="AS12" s="339" t="s">
        <v>794</v>
      </c>
      <c r="AT12" s="202"/>
      <c r="AU12" s="201"/>
      <c r="AV12" s="202"/>
      <c r="AW12" s="201"/>
      <c r="AX12" s="202"/>
      <c r="AY12" s="126">
        <f t="shared" si="1"/>
        <v>3189</v>
      </c>
      <c r="AZ12" s="127">
        <f t="shared" si="1"/>
        <v>5282</v>
      </c>
      <c r="BA12" s="127">
        <f t="shared" si="1"/>
        <v>4865</v>
      </c>
      <c r="BB12" s="127">
        <f t="shared" si="1"/>
        <v>3485</v>
      </c>
      <c r="BC12" s="125">
        <f>IF(ISNUMBER(X12),X12," - ")</f>
        <v>1466</v>
      </c>
      <c r="BD12" s="126">
        <f t="shared" si="2"/>
        <v>0.92105263157894735</v>
      </c>
      <c r="BE12" s="127">
        <f t="shared" si="3"/>
        <v>0.71634121274409046</v>
      </c>
      <c r="BF12" s="127">
        <f t="shared" si="4"/>
        <v>0.30133607399794449</v>
      </c>
      <c r="BG12" s="195">
        <f t="shared" si="5"/>
        <v>1.7412127440904419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3446</v>
      </c>
      <c r="J13" s="183">
        <f t="shared" si="6"/>
        <v>4467</v>
      </c>
      <c r="K13" s="183">
        <f t="shared" si="6"/>
        <v>4317</v>
      </c>
      <c r="L13" s="183">
        <f t="shared" si="6"/>
        <v>3596</v>
      </c>
      <c r="M13" s="183">
        <f t="shared" si="6"/>
        <v>1672</v>
      </c>
      <c r="N13" s="183">
        <f t="shared" si="6"/>
        <v>1588</v>
      </c>
      <c r="O13" s="183">
        <f t="shared" si="6"/>
        <v>1568</v>
      </c>
      <c r="P13" s="183">
        <f t="shared" si="6"/>
        <v>790</v>
      </c>
      <c r="Q13" s="183">
        <f t="shared" si="6"/>
        <v>299</v>
      </c>
      <c r="R13" s="183">
        <f t="shared" si="6"/>
        <v>4003</v>
      </c>
      <c r="S13" s="183">
        <f t="shared" si="6"/>
        <v>3140</v>
      </c>
      <c r="T13" s="183">
        <f t="shared" si="6"/>
        <v>5062</v>
      </c>
      <c r="U13" s="183">
        <f t="shared" si="6"/>
        <v>4621</v>
      </c>
      <c r="V13" s="183">
        <f t="shared" si="6"/>
        <v>3446</v>
      </c>
      <c r="W13" s="183">
        <f t="shared" si="6"/>
        <v>1668</v>
      </c>
      <c r="X13" s="183">
        <f t="shared" si="6"/>
        <v>1470</v>
      </c>
      <c r="Y13" s="183">
        <f t="shared" si="6"/>
        <v>39</v>
      </c>
      <c r="Z13" s="183">
        <f t="shared" si="6"/>
        <v>361</v>
      </c>
      <c r="AA13" s="183">
        <f t="shared" si="6"/>
        <v>222</v>
      </c>
      <c r="AB13" s="183">
        <f t="shared" si="6"/>
        <v>178</v>
      </c>
      <c r="AC13" s="183">
        <f t="shared" si="6"/>
        <v>0</v>
      </c>
      <c r="AD13" s="183">
        <f t="shared" si="6"/>
        <v>0</v>
      </c>
      <c r="AE13" s="183">
        <f t="shared" si="6"/>
        <v>0</v>
      </c>
      <c r="AF13" s="183">
        <f>SUBTOTAL(9,AF9:AF12)</f>
        <v>0</v>
      </c>
      <c r="AG13" s="183">
        <f t="shared" ref="AG13:AT13" si="7">SUBTOTAL(9,AG8:AG12)</f>
        <v>53</v>
      </c>
      <c r="AH13" s="183">
        <f t="shared" si="7"/>
        <v>220</v>
      </c>
      <c r="AI13" s="183">
        <f t="shared" si="7"/>
        <v>244</v>
      </c>
      <c r="AJ13" s="183">
        <f t="shared" si="7"/>
        <v>39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3193</v>
      </c>
      <c r="AZ13" s="183">
        <f>SUBTOTAL(9,AZ8:AZ12)</f>
        <v>5282</v>
      </c>
      <c r="BA13" s="183">
        <f>SUBTOTAL(9,BA8:BA12)</f>
        <v>4865</v>
      </c>
      <c r="BB13" s="183">
        <f>SUBTOTAL(9,BB8:BB12)</f>
        <v>3485</v>
      </c>
      <c r="BC13" s="183">
        <f>SUBTOTAL(9,BC8:BC12)</f>
        <v>1466</v>
      </c>
      <c r="BD13" s="204">
        <f>IF(ISNUMBER(BA13/AZ13),BA13/AZ13," - ")</f>
        <v>0.92105263157894735</v>
      </c>
      <c r="BE13" s="205">
        <f>IF(ISNUMBER(BB13/BA13),BB13/BA13, " - ")</f>
        <v>0.71634121274409046</v>
      </c>
      <c r="BF13" s="205">
        <f>IF(ISNUMBER(BC13/BA13),BC13/BA13, " - ")</f>
        <v>0.30133607399794449</v>
      </c>
      <c r="BG13" s="206">
        <f>IF(ISNUMBER((AY13+AZ13)/BA13),(AY13+AZ13)/BA13," - ")</f>
        <v>1.7420349434737923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1328</v>
      </c>
      <c r="J16" s="182">
        <v>3285</v>
      </c>
      <c r="K16" s="182">
        <v>2788</v>
      </c>
      <c r="L16" s="182">
        <v>1825</v>
      </c>
      <c r="M16" s="182">
        <v>350</v>
      </c>
      <c r="N16" s="182">
        <v>1734</v>
      </c>
      <c r="O16" s="180">
        <v>42</v>
      </c>
      <c r="P16" s="182">
        <v>134</v>
      </c>
      <c r="Q16" s="182">
        <v>110</v>
      </c>
      <c r="R16" s="182">
        <v>203</v>
      </c>
      <c r="S16" s="182">
        <v>962</v>
      </c>
      <c r="T16" s="182">
        <v>3279</v>
      </c>
      <c r="U16" s="182">
        <v>2913</v>
      </c>
      <c r="V16" s="182">
        <v>1328</v>
      </c>
      <c r="W16" s="182">
        <v>360</v>
      </c>
      <c r="X16" s="188">
        <v>1786</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962</v>
      </c>
      <c r="AZ16" s="127">
        <f t="shared" si="9"/>
        <v>3279</v>
      </c>
      <c r="BA16" s="127">
        <f t="shared" si="9"/>
        <v>2913</v>
      </c>
      <c r="BB16" s="127">
        <f t="shared" si="9"/>
        <v>1328</v>
      </c>
      <c r="BC16" s="125">
        <f>IF(ISNUMBER(W16),W16," - ")</f>
        <v>360</v>
      </c>
      <c r="BD16" s="126">
        <f t="shared" ref="BD16" si="11">IF(ISNUMBER(BA16/AZ16),BA16/AZ16," - ")</f>
        <v>0.88838060384263495</v>
      </c>
      <c r="BE16" s="127">
        <f t="shared" ref="BE16" si="12">IF(ISNUMBER(BB16/BA16),BB16/BA16, " - ")</f>
        <v>0.45588740130449706</v>
      </c>
      <c r="BF16" s="127">
        <f t="shared" ref="BF16" si="13">IF(ISNUMBER(BC16/BA16),BC16/BA16, " - ")</f>
        <v>0.12358393408856849</v>
      </c>
      <c r="BG16" s="195">
        <f t="shared" si="10"/>
        <v>1.4558874013044971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0</v>
      </c>
      <c r="K17" s="182">
        <v>2</v>
      </c>
      <c r="L17" s="182">
        <v>0</v>
      </c>
      <c r="M17" s="182">
        <v>0</v>
      </c>
      <c r="N17" s="182">
        <v>0</v>
      </c>
      <c r="O17" s="182">
        <v>0</v>
      </c>
      <c r="P17" s="182">
        <v>0</v>
      </c>
      <c r="Q17" s="182">
        <v>0</v>
      </c>
      <c r="R17" s="182">
        <v>0</v>
      </c>
      <c r="S17" s="182">
        <v>17</v>
      </c>
      <c r="T17" s="182">
        <v>3</v>
      </c>
      <c r="U17" s="182">
        <v>13</v>
      </c>
      <c r="V17" s="182">
        <v>2</v>
      </c>
      <c r="W17" s="182">
        <v>0</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3</v>
      </c>
      <c r="BA17" s="129">
        <f t="shared" si="14"/>
        <v>13</v>
      </c>
      <c r="BB17" s="129">
        <f t="shared" si="14"/>
        <v>2</v>
      </c>
      <c r="BC17" s="125">
        <f>IF(ISNUMBER(W17),W17," - ")</f>
        <v>0</v>
      </c>
      <c r="BD17" s="126">
        <f>IF(ISNUMBER(BA17/AZ17),BA17/AZ17," - ")</f>
        <v>4.333333333333333</v>
      </c>
      <c r="BE17" s="127">
        <f>IF(ISNUMBER(BB17/BA17),BB17/BA17, " - ")</f>
        <v>0.15384615384615385</v>
      </c>
      <c r="BF17" s="127">
        <f>IF(ISNUMBER(BC17/BA17),BC17/BA17, " - ")</f>
        <v>0</v>
      </c>
      <c r="BG17" s="195">
        <f>IF(ISNUMBER((AY17+AZ17)/BA17),(AY17+AZ17)/BA17," - ")</f>
        <v>1.5384615384615385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1330</v>
      </c>
      <c r="J18" s="183">
        <f t="shared" si="15"/>
        <v>3285</v>
      </c>
      <c r="K18" s="183">
        <f t="shared" si="15"/>
        <v>2790</v>
      </c>
      <c r="L18" s="183">
        <f t="shared" si="15"/>
        <v>1825</v>
      </c>
      <c r="M18" s="183">
        <f t="shared" si="15"/>
        <v>350</v>
      </c>
      <c r="N18" s="183">
        <f t="shared" si="15"/>
        <v>1734</v>
      </c>
      <c r="O18" s="183">
        <f t="shared" si="15"/>
        <v>42</v>
      </c>
      <c r="P18" s="183">
        <f t="shared" si="15"/>
        <v>134</v>
      </c>
      <c r="Q18" s="183">
        <f t="shared" si="15"/>
        <v>110</v>
      </c>
      <c r="R18" s="183">
        <f t="shared" si="15"/>
        <v>203</v>
      </c>
      <c r="S18" s="183">
        <f t="shared" si="15"/>
        <v>979</v>
      </c>
      <c r="T18" s="183">
        <f t="shared" si="15"/>
        <v>3282</v>
      </c>
      <c r="U18" s="183">
        <f t="shared" si="15"/>
        <v>2926</v>
      </c>
      <c r="V18" s="183">
        <f t="shared" si="15"/>
        <v>1330</v>
      </c>
      <c r="W18" s="183">
        <f t="shared" si="15"/>
        <v>360</v>
      </c>
      <c r="X18" s="183">
        <f t="shared" si="15"/>
        <v>1795</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979</v>
      </c>
      <c r="AZ18" s="183">
        <f>SUBTOTAL(9,AZ14:AZ17)</f>
        <v>3282</v>
      </c>
      <c r="BA18" s="183">
        <f>SUBTOTAL(9,BA14:BA17)</f>
        <v>2926</v>
      </c>
      <c r="BB18" s="183">
        <f>SUBTOTAL(9,BB14:BB17)</f>
        <v>1330</v>
      </c>
      <c r="BC18" s="183">
        <f>SUBTOTAL(9,BC14:BC17)</f>
        <v>360</v>
      </c>
      <c r="BD18" s="204">
        <f>IF(ISNUMBER(BA18/AZ18),BA18/AZ18," - ")</f>
        <v>0.89152955514929921</v>
      </c>
      <c r="BE18" s="205">
        <f>IF(ISNUMBER(BB18/BA18),BB18/BA18, " - ")</f>
        <v>0.45454545454545453</v>
      </c>
      <c r="BF18" s="205">
        <f>IF(ISNUMBER(BC18/BA18),BC18/BA18, " - ")</f>
        <v>0.12303485987696514</v>
      </c>
      <c r="BG18" s="206">
        <f>IF(ISNUMBER((AY18+AZ18)/BA18),(AY18+AZ18)/BA18," - ")</f>
        <v>1.4562542720437457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4776</v>
      </c>
      <c r="J19" s="134">
        <f t="shared" si="18"/>
        <v>7752</v>
      </c>
      <c r="K19" s="134">
        <f t="shared" si="18"/>
        <v>7107</v>
      </c>
      <c r="L19" s="134">
        <f t="shared" si="18"/>
        <v>5421</v>
      </c>
      <c r="M19" s="134">
        <f t="shared" si="18"/>
        <v>2022</v>
      </c>
      <c r="N19" s="134">
        <f t="shared" si="18"/>
        <v>3322</v>
      </c>
      <c r="O19" s="134">
        <f t="shared" si="18"/>
        <v>1610</v>
      </c>
      <c r="P19" s="134">
        <f t="shared" si="18"/>
        <v>924</v>
      </c>
      <c r="Q19" s="134">
        <f t="shared" si="18"/>
        <v>409</v>
      </c>
      <c r="R19" s="134">
        <f t="shared" si="18"/>
        <v>4206</v>
      </c>
      <c r="S19" s="134">
        <f t="shared" si="18"/>
        <v>4119</v>
      </c>
      <c r="T19" s="134">
        <f t="shared" si="18"/>
        <v>8344</v>
      </c>
      <c r="U19" s="134">
        <f t="shared" si="18"/>
        <v>7547</v>
      </c>
      <c r="V19" s="134">
        <f t="shared" si="18"/>
        <v>4776</v>
      </c>
      <c r="W19" s="134">
        <f t="shared" si="18"/>
        <v>2028</v>
      </c>
      <c r="X19" s="134">
        <f t="shared" si="18"/>
        <v>3265</v>
      </c>
      <c r="Y19" s="134">
        <f t="shared" si="18"/>
        <v>39</v>
      </c>
      <c r="Z19" s="134">
        <f t="shared" si="18"/>
        <v>361</v>
      </c>
      <c r="AA19" s="134">
        <f t="shared" si="18"/>
        <v>222</v>
      </c>
      <c r="AB19" s="134">
        <f t="shared" si="18"/>
        <v>178</v>
      </c>
      <c r="AC19" s="134">
        <f t="shared" si="18"/>
        <v>0</v>
      </c>
      <c r="AD19" s="134">
        <f t="shared" si="18"/>
        <v>1</v>
      </c>
      <c r="AE19" s="134">
        <f t="shared" si="18"/>
        <v>0</v>
      </c>
      <c r="AF19" s="134">
        <f t="shared" si="18"/>
        <v>1</v>
      </c>
      <c r="AG19" s="134">
        <f t="shared" si="18"/>
        <v>53</v>
      </c>
      <c r="AH19" s="134">
        <f t="shared" si="18"/>
        <v>220</v>
      </c>
      <c r="AI19" s="134">
        <f t="shared" si="18"/>
        <v>244</v>
      </c>
      <c r="AJ19" s="134">
        <f t="shared" si="18"/>
        <v>39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4172</v>
      </c>
      <c r="AZ19" s="134">
        <f>SUBTOTAL(9,AZ9:AZ18)</f>
        <v>8564</v>
      </c>
      <c r="BA19" s="134">
        <f>SUBTOTAL(9,BA9:BA18)</f>
        <v>7791</v>
      </c>
      <c r="BB19" s="134">
        <f>SUBTOTAL(9,BB9:BB18)</f>
        <v>4815</v>
      </c>
      <c r="BC19" s="135">
        <f>SUBTOTAL(9,BC9:BC18)</f>
        <v>1826</v>
      </c>
      <c r="BD19" s="212">
        <f>IF(ISNUMBER(BA19/AZ19),BA19/AZ19," - ")</f>
        <v>0.90973843998131709</v>
      </c>
      <c r="BE19" s="209">
        <f>IF(ISNUMBER(BB19/BA19),BB19/BA19, " - ")</f>
        <v>0.61802079322294956</v>
      </c>
      <c r="BF19" s="209">
        <f>IF(ISNUMBER(BC19/BA19),BC19/BA19, " - ")</f>
        <v>0.2343729944808112</v>
      </c>
      <c r="BG19" s="135">
        <f>IF(ISNUMBER((AY19+AZ19)/BA19),(AY19+AZ19)/BA19," - ")</f>
        <v>1.6347067128738288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4F8wShH3dOI6Rl76HbgkG2ps9cwqcar4NU6N2htjdGrSJ4Rnz5wilJOUxgX9A9jSWS9YHM5zOYU0fEVpaLCLA==" saltValue="GMKbi8oa5Jh8/eK2/1Jr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oXMNdOojfd4Un5ffeikgT4PbOquHS9vZbsdkHhCI7Buov29Alp3sOBZCMGUM/1AQXWQq7eynM3FDG/HqOoBRQ==" saltValue="XRnmO+wHjgzPSBgN56O+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QUART DE POBLET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37</v>
      </c>
      <c r="AD10" s="333"/>
      <c r="AE10" s="483"/>
      <c r="AF10" s="331">
        <f>IF(ISNUMBER(Datos!L10),Datos!L10,"-")</f>
        <v>0</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17</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-0.82222222222222219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361</v>
      </c>
      <c r="O12" s="333"/>
      <c r="P12" s="333"/>
      <c r="Q12" s="225">
        <f>IF(ISNUMBER(Datos!P12),Datos!P12,0)</f>
        <v>790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178</v>
      </c>
      <c r="AI12" s="333" t="str">
        <f>IF(ISNUMBER(Datos!CD12),Datos!CD12,"-")</f>
        <v>-</v>
      </c>
      <c r="AJ12" s="333" t="str">
        <f>IF(ISNUMBER(Datos!EN12),Datos!EN12," - ")</f>
        <v xml:space="preserve"> - </v>
      </c>
      <c r="AK12" s="333"/>
      <c r="AL12" s="478"/>
      <c r="AM12" s="334">
        <f>IF(ISNUMBER(Datos!R12),Datos!R12," - ")</f>
        <v>3995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1672</v>
      </c>
      <c r="BD12" s="228">
        <f>IF(ISNUMBER(Datos!N12),Datos!N12," - ")</f>
        <v>1571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0.9401408450704225</v>
      </c>
      <c r="BH12" s="259">
        <f>IF(ISNUMBER(((IF(J_V="SI",Datos!L12/Datos!K12,(Datos!L12+Datos!AB12)/(Datos!K12+Datos!AA12)))*11)/factor_trimestre),((IF(J_V="SI",Datos!L12/Datos!K12,(Datos!L12+Datos!AB12)/(Datos!K12+Datos!AA12)))*11)/factor_trimestre," - ")</f>
        <v>9.1460674157303377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0.15229304874531296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361</v>
      </c>
      <c r="O13" s="899">
        <f t="shared" si="0"/>
        <v>0</v>
      </c>
      <c r="P13" s="899">
        <f t="shared" si="0"/>
        <v>0</v>
      </c>
      <c r="Q13" s="898">
        <f t="shared" si="0"/>
        <v>790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299</v>
      </c>
      <c r="AD13" s="898">
        <f t="shared" si="1"/>
        <v>0</v>
      </c>
      <c r="AE13" s="898">
        <f t="shared" si="1"/>
        <v>0</v>
      </c>
      <c r="AF13" s="898">
        <f t="shared" si="1"/>
        <v>0</v>
      </c>
      <c r="AG13" s="898">
        <f t="shared" si="1"/>
        <v>0</v>
      </c>
      <c r="AH13" s="898">
        <f t="shared" si="1"/>
        <v>178</v>
      </c>
      <c r="AI13" s="898">
        <f t="shared" si="1"/>
        <v>0</v>
      </c>
      <c r="AJ13" s="898">
        <f t="shared" si="1"/>
        <v>0</v>
      </c>
      <c r="AK13" s="898">
        <f t="shared" si="1"/>
        <v>0</v>
      </c>
      <c r="AL13" s="898">
        <f t="shared" si="1"/>
        <v>0</v>
      </c>
      <c r="AM13" s="898">
        <f t="shared" si="1"/>
        <v>4003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1672</v>
      </c>
      <c r="BD13" s="898">
        <f t="shared" si="1"/>
        <v>1588</v>
      </c>
      <c r="BE13" s="898">
        <f t="shared" si="1"/>
        <v>0</v>
      </c>
      <c r="BF13" s="898">
        <f t="shared" si="1"/>
        <v>0</v>
      </c>
      <c r="BG13" s="898">
        <f>IF(ISNUMBER(Datos!K13/Datos!J13),Datos!K13/Datos!J13," - ")</f>
        <v>0.96642041638683684</v>
      </c>
      <c r="BH13" s="902">
        <f>IF(ISNUMBER(((Datos!L13/Datos!K13)*11)/factor_trimestre),((Datos!L13/Datos!K13)*11)/factor_trimestre," - ")</f>
        <v>9.1628445679870278</v>
      </c>
      <c r="BI13" s="898">
        <f>IF(ISNUMBER('Resol  Asuntos'!D13/NºAsuntos!G13),'Resol  Asuntos'!D13/NºAsuntos!G13," - ")</f>
        <v>0.36836307556730558</v>
      </c>
      <c r="BJ13" s="898" t="str">
        <f>IF(ISNUMBER(Datos!CI13/Datos!CJ13),Datos!CI13/Datos!CJ13," - ")</f>
        <v xml:space="preserve"> - </v>
      </c>
      <c r="BK13" s="898">
        <f>SUBTOTAL(9,BK8:BK12)</f>
        <v>0</v>
      </c>
      <c r="BL13" s="898" t="str">
        <f>IF(ISNUMBER((I13-AB13+L13)/(F13)),(I13-AB13+L13)/(F13)," - ")</f>
        <v xml:space="preserve"> - </v>
      </c>
      <c r="BM13" s="903">
        <f>SUBTOTAL(9,BM9:BM12)</f>
        <v>-0.66992917347690928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1328</v>
      </c>
      <c r="G16" s="597">
        <f>IF(ISNUMBER(IF(D_I="SI",Datos!I16,Datos!I16+Datos!AC16)),IF(D_I="SI",Datos!I16,Datos!I16+Datos!AC16)," - ")</f>
        <v>1328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2788</v>
      </c>
      <c r="AC16" s="225">
        <f>IF(ISNUMBER(Datos!Q16),Datos!Q16," - ")</f>
        <v>110</v>
      </c>
      <c r="AD16" s="333"/>
      <c r="AE16" s="483"/>
      <c r="AF16" s="595">
        <f>IF(ISNUMBER(IF(D_I="SI",Datos!L16,Datos!L16+Datos!AF16)),IF(D_I="SI",Datos!L16,Datos!L16+Datos!AF16)," - ")</f>
        <v>1825</v>
      </c>
      <c r="AG16" s="333"/>
      <c r="AH16" s="333"/>
      <c r="AI16" s="333"/>
      <c r="AJ16" s="333"/>
      <c r="AK16" s="333"/>
      <c r="AL16" s="478"/>
      <c r="AM16" s="334">
        <f>IF(ISNUMBER(Datos!R16),Datos!R16," - ")</f>
        <v>203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350</v>
      </c>
      <c r="BD16" s="228">
        <f>IF(ISNUMBER(Datos!N16),Datos!N16," - ")</f>
        <v>1734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0.84870624048706245</v>
      </c>
      <c r="BH16" s="259">
        <f>IF(ISNUMBER(((IF(D_I="SI",Datos!L16/Datos!K16,(Datos!L16+Datos!AF16)/(Datos!K16+Datos!AE16)))*11)/factor_trimestre),((IF(D_I="SI",Datos!L16/Datos!K16,(Datos!L16+Datos!AF16)/(Datos!K16+Datos!AE16)))*11)/factor_trimestre," - ")</f>
        <v>7.2005021520803441</v>
      </c>
      <c r="BI16" s="242">
        <f>IF(ISNUMBER('Resol  Asuntos'!D16/NºAsuntos!G16),'Resol  Asuntos'!D16/NºAsuntos!G16," - ")</f>
        <v>0.12553802008608322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1328</v>
      </c>
      <c r="G18" s="897">
        <f>SUBTOTAL(9,G15:G17)</f>
        <v>1330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2790</v>
      </c>
      <c r="AC18" s="898">
        <f t="shared" si="4"/>
        <v>110</v>
      </c>
      <c r="AD18" s="898">
        <f t="shared" si="4"/>
        <v>0</v>
      </c>
      <c r="AE18" s="898">
        <f t="shared" si="4"/>
        <v>0</v>
      </c>
      <c r="AF18" s="898">
        <f t="shared" si="4"/>
        <v>1825</v>
      </c>
      <c r="AG18" s="898">
        <f t="shared" si="4"/>
        <v>0</v>
      </c>
      <c r="AH18" s="898">
        <f t="shared" si="4"/>
        <v>0</v>
      </c>
      <c r="AI18" s="898">
        <f t="shared" si="4"/>
        <v>0</v>
      </c>
      <c r="AJ18" s="898">
        <f t="shared" si="4"/>
        <v>0</v>
      </c>
      <c r="AK18" s="898">
        <f t="shared" si="4"/>
        <v>0</v>
      </c>
      <c r="AL18" s="898">
        <f t="shared" si="4"/>
        <v>0</v>
      </c>
      <c r="AM18" s="898">
        <f t="shared" si="4"/>
        <v>203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350</v>
      </c>
      <c r="BD18" s="898">
        <f t="shared" si="4"/>
        <v>1734</v>
      </c>
      <c r="BE18" s="898">
        <f t="shared" si="4"/>
        <v>0</v>
      </c>
      <c r="BF18" s="898">
        <f t="shared" si="4"/>
        <v>0</v>
      </c>
      <c r="BG18" s="898">
        <f>IF(ISNUMBER(Datos!K18/Datos!J18),Datos!K18/Datos!J18," - ")</f>
        <v>0.84931506849315064</v>
      </c>
      <c r="BH18" s="902">
        <f>IF(ISNUMBER(((Datos!L18/Datos!K18)*11)/factor_trimestre),((Datos!L18/Datos!K18)*11)/factor_trimestre," - ")</f>
        <v>7.1953405017921153</v>
      </c>
      <c r="BI18" s="898">
        <f>SUBTOTAL(9,BI15:BI17)</f>
        <v>0.12553802008608322</v>
      </c>
      <c r="BJ18" s="898">
        <f>SUBTOTAL(9,BJ15:BJ17)</f>
        <v>0</v>
      </c>
      <c r="BK18" s="898">
        <f>SUBTOTAL(9,BK15:BK17)</f>
        <v>0</v>
      </c>
      <c r="BL18" s="898">
        <f>IF(ISNUMBER((I18-AB18+L18)/(F18)),(I18-AB18+L18)/(F18)," - ")</f>
        <v>-2.1009036144578315</v>
      </c>
      <c r="BM18" s="904">
        <f>IF(ISNUMBER((Datos!P18-Datos!Q18)/(Datos!R18-Datos!P18+Datos!Q18)),(Datos!P18-Datos!Q18)/(Datos!R18-Datos!P18+Datos!Q18)," - ")</f>
        <v>0.13407821229050279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1328</v>
      </c>
      <c r="G19" s="819">
        <f t="shared" si="6"/>
        <v>1330</v>
      </c>
      <c r="H19" s="821">
        <f t="shared" si="6"/>
        <v>0</v>
      </c>
      <c r="I19" s="819">
        <f t="shared" si="6"/>
        <v>0</v>
      </c>
      <c r="J19" s="821">
        <f t="shared" si="6"/>
        <v>0</v>
      </c>
      <c r="K19" s="821">
        <f t="shared" si="6"/>
        <v>0</v>
      </c>
      <c r="L19" s="880">
        <f t="shared" si="6"/>
        <v>0</v>
      </c>
      <c r="M19" s="880">
        <f t="shared" si="6"/>
        <v>0</v>
      </c>
      <c r="N19" s="880">
        <f t="shared" si="6"/>
        <v>361</v>
      </c>
      <c r="O19" s="880">
        <f t="shared" si="6"/>
        <v>0</v>
      </c>
      <c r="P19" s="880">
        <f t="shared" si="6"/>
        <v>0</v>
      </c>
      <c r="Q19" s="821">
        <f t="shared" si="6"/>
        <v>924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2790</v>
      </c>
      <c r="AC19" s="820">
        <f t="shared" si="7"/>
        <v>409</v>
      </c>
      <c r="AD19" s="820">
        <f t="shared" si="7"/>
        <v>0</v>
      </c>
      <c r="AE19" s="820">
        <f t="shared" si="7"/>
        <v>0</v>
      </c>
      <c r="AF19" s="827">
        <f t="shared" si="7"/>
        <v>1825</v>
      </c>
      <c r="AG19" s="827">
        <f t="shared" si="7"/>
        <v>0</v>
      </c>
      <c r="AH19" s="827">
        <f t="shared" si="7"/>
        <v>178</v>
      </c>
      <c r="AI19" s="827">
        <f t="shared" si="7"/>
        <v>0</v>
      </c>
      <c r="AJ19" s="820">
        <f t="shared" si="7"/>
        <v>0</v>
      </c>
      <c r="AK19" s="827">
        <f t="shared" si="7"/>
        <v>0</v>
      </c>
      <c r="AL19" s="827">
        <f t="shared" si="7"/>
        <v>0</v>
      </c>
      <c r="AM19" s="827">
        <f t="shared" si="7"/>
        <v>4206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2022</v>
      </c>
      <c r="BD19" s="819">
        <f t="shared" si="7"/>
        <v>3322</v>
      </c>
      <c r="BE19" s="819">
        <f t="shared" si="7"/>
        <v>0</v>
      </c>
      <c r="BF19" s="829">
        <f t="shared" si="7"/>
        <v>0</v>
      </c>
      <c r="BG19" s="914">
        <f>IF(ISNUMBER(Datos!K19/Datos!J19),Datos!K19/Datos!J19," - ")</f>
        <v>0.91679566563467496</v>
      </c>
      <c r="BH19" s="914">
        <f>IF(ISNUMBER(((Datos!L19/Datos!K19)*11)/factor_trimestre),((Datos!L19/Datos!K19)*11)/factor_trimestre," - ")</f>
        <v>8.3904601097509506</v>
      </c>
      <c r="BI19" s="812">
        <f>IF(ISNUMBER(Datos!J19/Datos!I19),Datos!J19/Datos!I19," - ")</f>
        <v>1.6231155778894473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-2.1009036144578315</v>
      </c>
      <c r="BM19" s="888">
        <f>IF(ISNUMBER((Datos!P19-Datos!Q19+R19)/(Datos!R19-Datos!P19+Datos!Q19-R19)),(Datos!P19-Datos!Q19+R19)/(Datos!R19-Datos!P19+Datos!Q19-R19)," - ")</f>
        <v>0.1395285830398266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766.72115748382305</v>
      </c>
      <c r="G21" s="551">
        <f>IF(ISNUMBER(STDEV(G8:G18)),STDEV(G8:G18),"-")</f>
        <v>727.55893232094957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1527.2334464645542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788.73468289406424</v>
      </c>
      <c r="BD21" s="550"/>
      <c r="BE21" s="550">
        <f>IF(ISNUMBER(STDEV(BE8:BE18)),STDEV(BE8:BE18),"-")</f>
        <v>0</v>
      </c>
      <c r="BF21" s="555">
        <f>IF(ISNUMBER(STDEV(BF8:BF18)),STDEV(BF8:BF18),"-")</f>
        <v>0</v>
      </c>
      <c r="BG21" s="774">
        <f>IF(ISNUMBER(STDEV(BG8:BG18)),STDEV(BG8:BG18),"-")</f>
        <v>6.1149328736680698E-2</v>
      </c>
      <c r="BH21" s="775">
        <f>IF(ISNUMBER(STDEV(BH8:BH18)),STDEV(BH8:BH18),"-")</f>
        <v>3.7851099966852586</v>
      </c>
      <c r="BI21" s="248">
        <f>IF(ISNUMBER(STDEV(BI8:BI18)),STDEV(BI8:BI18),"-")</f>
        <v>0.15414791585643464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kndIwdggNiH5pIzZCgduzOy8qoJoNYSQVxpSmJTTKFS8eHuq0n5W04s6jz7NuPUiBNuLZ+D24dRprf0T1pFYw==" saltValue="GfQOt4QgHFtrEgOl4UX2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QUART DE POBLET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37</v>
      </c>
      <c r="AA10" s="331">
        <f>IF(ISNUMBER(Datos!L10),Datos!L10,"-")</f>
        <v>0</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17</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-0.82222222222222219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262</v>
      </c>
      <c r="AA12" s="331" t="str">
        <f>IF(ISNUMBER(IF(J_V="SI",Datos!L12,Datos!L12+Datos!AB12)-IF(Monitorios="SI",Datos!CD12,0)),
                          IF(J_V="SI",Datos!L12,Datos!L12+Datos!AB12)-IF(Monitorios="SI",Datos!CD12,0),
                          " - ")</f>
        <v xml:space="preserve"> - </v>
      </c>
      <c r="AB12" s="333"/>
      <c r="AC12" s="333"/>
      <c r="AD12" s="483"/>
      <c r="AE12" s="483">
        <f>IF(ISNUMBER(Datos!R12),Datos!R12," - ")</f>
        <v>3995</v>
      </c>
      <c r="AF12" s="228" t="str">
        <f>IF(ISNUMBER(Datos!BV12),Datos!BV12," - ")</f>
        <v xml:space="preserve"> - </v>
      </c>
      <c r="AG12" s="224" t="str">
        <f>IF(ISNUMBER(Datos!DV12),Datos!DV12," - ")</f>
        <v xml:space="preserve"> - </v>
      </c>
      <c r="AH12" s="297"/>
      <c r="AI12" s="226"/>
      <c r="AJ12" s="224">
        <f>IF(ISNUMBER(Datos!M12),Datos!M12," - ")</f>
        <v>1672</v>
      </c>
      <c r="AK12" s="228">
        <f>IF(ISNUMBER(Datos!N12),Datos!N12," - ")</f>
        <v>1571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9.1460674157303377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0.15229304874531296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790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299</v>
      </c>
      <c r="AA13" s="899">
        <f t="shared" si="2"/>
        <v>0</v>
      </c>
      <c r="AB13" s="899">
        <f t="shared" si="2"/>
        <v>0</v>
      </c>
      <c r="AC13" s="899">
        <f t="shared" si="2"/>
        <v>0</v>
      </c>
      <c r="AD13" s="899">
        <f t="shared" si="2"/>
        <v>0</v>
      </c>
      <c r="AE13" s="899">
        <f t="shared" si="2"/>
        <v>4003</v>
      </c>
      <c r="AF13" s="907">
        <f t="shared" si="2"/>
        <v>0</v>
      </c>
      <c r="AG13" s="907">
        <f t="shared" si="2"/>
        <v>0</v>
      </c>
      <c r="AH13" s="907">
        <f t="shared" si="2"/>
        <v>0</v>
      </c>
      <c r="AI13" s="907">
        <f t="shared" si="2"/>
        <v>0</v>
      </c>
      <c r="AJ13" s="907">
        <f t="shared" si="2"/>
        <v>1672</v>
      </c>
      <c r="AK13" s="907">
        <f t="shared" si="2"/>
        <v>1588</v>
      </c>
      <c r="AL13" s="907">
        <f t="shared" si="2"/>
        <v>0</v>
      </c>
      <c r="AM13" s="907">
        <f t="shared" si="2"/>
        <v>0</v>
      </c>
      <c r="AN13" s="907">
        <f t="shared" si="2"/>
        <v>0</v>
      </c>
      <c r="AO13" s="903">
        <f>IF(ISNUMBER(((NºAsuntos!I13/NºAsuntos!G13)*11)/factor_trimestre),((NºAsuntos!I13/NºAsuntos!G13)*11)/factor_trimestre," - ")</f>
        <v>9.1460674157303377</v>
      </c>
      <c r="AP13" s="909" t="str">
        <f>IF(ISNUMBER(Datos!CI13/Datos!CJ13),Datos!CI13/Datos!CJ13," - ")</f>
        <v xml:space="preserve"> - </v>
      </c>
      <c r="AQ13" s="927">
        <f t="shared" ref="AQ13:AV13" si="3">SUBTOTAL(9,AQ9:AQ12)</f>
        <v>0</v>
      </c>
      <c r="AR13" s="927">
        <f t="shared" si="3"/>
        <v>-0.66992917347690928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1328</v>
      </c>
      <c r="G16" s="224">
        <f>IF(ISNUMBER(IF(D_I="SI",Datos!I16,Datos!I16+Datos!AC16)),IF(D_I="SI",Datos!I16,Datos!I16+Datos!AC16)," - ")</f>
        <v>1328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2788</v>
      </c>
      <c r="Z16" s="618">
        <f>IF(ISNUMBER(Datos!Q16),Datos!Q16," - ")</f>
        <v>110</v>
      </c>
      <c r="AA16" s="331">
        <f>IF(ISNUMBER(IF(D_I="SI",Datos!L16,Datos!L16+Datos!AF16)),IF(D_I="SI",Datos!L16,Datos!L16+Datos!AF16)," - ")</f>
        <v>1825</v>
      </c>
      <c r="AB16" s="333"/>
      <c r="AC16" s="333"/>
      <c r="AD16" s="483"/>
      <c r="AE16" s="483">
        <f>IF(ISNUMBER(Datos!R16),Datos!R16," - ")</f>
        <v>203</v>
      </c>
      <c r="AF16" s="228" t="str">
        <f>IF(ISNUMBER(Datos!BV16),Datos!BV16," - ")</f>
        <v xml:space="preserve"> - </v>
      </c>
      <c r="AG16" s="224"/>
      <c r="AH16" s="297"/>
      <c r="AI16" s="226"/>
      <c r="AJ16" s="224">
        <f>IF(ISNUMBER(Datos!M16),Datos!M16," - ")</f>
        <v>350</v>
      </c>
      <c r="AK16" s="228">
        <f>IF(ISNUMBER(Datos!N16),Datos!N16," - ")</f>
        <v>1734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7.2005021520803441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1328</v>
      </c>
      <c r="G18" s="897">
        <f>SUBTOTAL(9,G15:G17)</f>
        <v>1330</v>
      </c>
      <c r="H18" s="931">
        <f>SUBTOTAL(9,H15:H17)</f>
        <v>0</v>
      </c>
      <c r="I18" s="910">
        <f>SUBTOTAL(9,I15:I17)</f>
        <v>0</v>
      </c>
      <c r="J18" s="866">
        <f>SUBTOTAL(9,J14:J17)</f>
        <v>0</v>
      </c>
      <c r="K18" s="931">
        <f t="shared" ref="K18:S18" si="4">SUBTOTAL(9,K15:K17)</f>
        <v>0</v>
      </c>
      <c r="L18" s="931">
        <f t="shared" si="4"/>
        <v>0</v>
      </c>
      <c r="M18" s="931">
        <f t="shared" si="4"/>
        <v>0</v>
      </c>
      <c r="N18" s="931">
        <f t="shared" si="4"/>
        <v>134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2790</v>
      </c>
      <c r="Z18" s="931">
        <f t="shared" si="5"/>
        <v>110</v>
      </c>
      <c r="AA18" s="931">
        <f t="shared" si="5"/>
        <v>1825</v>
      </c>
      <c r="AB18" s="931">
        <f t="shared" si="5"/>
        <v>0</v>
      </c>
      <c r="AC18" s="931">
        <f t="shared" si="5"/>
        <v>0</v>
      </c>
      <c r="AD18" s="931">
        <f t="shared" si="5"/>
        <v>0</v>
      </c>
      <c r="AE18" s="931">
        <f t="shared" si="5"/>
        <v>203</v>
      </c>
      <c r="AF18" s="931">
        <f t="shared" si="5"/>
        <v>0</v>
      </c>
      <c r="AG18" s="931">
        <f t="shared" si="5"/>
        <v>0</v>
      </c>
      <c r="AH18" s="931">
        <f t="shared" si="5"/>
        <v>0</v>
      </c>
      <c r="AI18" s="931">
        <f t="shared" si="5"/>
        <v>0</v>
      </c>
      <c r="AJ18" s="931">
        <f t="shared" si="5"/>
        <v>350</v>
      </c>
      <c r="AK18" s="931">
        <f t="shared" si="5"/>
        <v>1734</v>
      </c>
      <c r="AL18" s="931">
        <f t="shared" si="5"/>
        <v>0</v>
      </c>
      <c r="AM18" s="931">
        <f t="shared" si="5"/>
        <v>0</v>
      </c>
      <c r="AN18" s="931">
        <f t="shared" si="5"/>
        <v>0</v>
      </c>
      <c r="AO18" s="933">
        <f>IF(ISNUMBER(((NºAsuntos!I18/NºAsuntos!G18)*11)/factor_trimestre),((NºAsuntos!I18/NºAsuntos!G18)*11)/factor_trimestre," - ")</f>
        <v>7.1953405017921153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1328</v>
      </c>
      <c r="G19" s="819">
        <f t="shared" si="7"/>
        <v>1330</v>
      </c>
      <c r="H19" s="820">
        <f t="shared" si="7"/>
        <v>0</v>
      </c>
      <c r="I19" s="819">
        <f t="shared" si="7"/>
        <v>0</v>
      </c>
      <c r="J19" s="821">
        <f t="shared" si="7"/>
        <v>0</v>
      </c>
      <c r="K19" s="819">
        <f t="shared" si="7"/>
        <v>0</v>
      </c>
      <c r="L19" s="822">
        <f t="shared" si="7"/>
        <v>0</v>
      </c>
      <c r="M19" s="819">
        <f t="shared" si="7"/>
        <v>0</v>
      </c>
      <c r="N19" s="820">
        <f t="shared" si="7"/>
        <v>924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2790</v>
      </c>
      <c r="Z19" s="826">
        <f t="shared" si="8"/>
        <v>409</v>
      </c>
      <c r="AA19" s="827">
        <f t="shared" si="8"/>
        <v>1825</v>
      </c>
      <c r="AB19" s="827">
        <f t="shared" si="8"/>
        <v>0</v>
      </c>
      <c r="AC19" s="827">
        <f t="shared" si="8"/>
        <v>0</v>
      </c>
      <c r="AD19" s="828">
        <f t="shared" si="8"/>
        <v>0</v>
      </c>
      <c r="AE19" s="828">
        <f t="shared" si="8"/>
        <v>4206</v>
      </c>
      <c r="AF19" s="829">
        <f t="shared" si="8"/>
        <v>0</v>
      </c>
      <c r="AG19" s="830">
        <f t="shared" si="8"/>
        <v>0</v>
      </c>
      <c r="AH19" s="831">
        <f t="shared" si="8"/>
        <v>0</v>
      </c>
      <c r="AI19" s="829">
        <f t="shared" si="8"/>
        <v>0</v>
      </c>
      <c r="AJ19" s="819">
        <f t="shared" si="8"/>
        <v>2022</v>
      </c>
      <c r="AK19" s="819">
        <f t="shared" si="8"/>
        <v>3322</v>
      </c>
      <c r="AL19" s="819">
        <f t="shared" si="8"/>
        <v>0</v>
      </c>
      <c r="AM19" s="832">
        <f t="shared" si="8"/>
        <v>0</v>
      </c>
      <c r="AN19" s="822">
        <f>IF(ISNUMBER(Datos!K19/Datos!J19),Datos!K19/Datos!J19," - ")</f>
        <v>0.91679566563467496</v>
      </c>
      <c r="AO19" s="822">
        <f>IF(ISNUMBER(FIND("06",Criterios!A8,1)),(IF(ISNUMBER(((Datos!R19/Datos!Q19)*11)/factor_trimestre),((Datos!R19/Datos!Q19)*11)/factor_trimestre," - ")),(IF(ISNUMBER(((Datos!L19/Datos!K19)*11)/factor_trimestre),((Datos!L19/Datos!K19)*11)/factor_trimestre," - ")))</f>
        <v>8.3904601097509506</v>
      </c>
      <c r="AP19" s="833" t="str">
        <f>IF(ISNUMBER(Datos!CI19/Datos!CJ19),Datos!CI19/Datos!CJ19," - ")</f>
        <v xml:space="preserve"> - </v>
      </c>
      <c r="AQ19" s="833">
        <f>IF(OR(ISNUMBER(FIND("01",Criterios!A8,1)),ISNUMBER(FIND("02",Criterios!A8,1)),ISNUMBER(FIND("03",Criterios!A8,1)),ISNUMBER(FIND("04",Criterios!A8,1))),(J19-Y19+K19)/(F19-K19),(I19-Y19+K19)/(F19-K19))</f>
        <v>-2.1009036144578315</v>
      </c>
      <c r="AR19" s="833">
        <f>IF(ISNUMBER((Datos!P19-Datos!Q19+O19)/(Datos!R19-Datos!P19+Datos!Q19-O19)),(Datos!P19-Datos!Q19+O19)/(Datos!R19-Datos!P19+Datos!Q19-O19)," - ")</f>
        <v>0.1395285830398266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766.72115748382305</v>
      </c>
      <c r="G21" s="551">
        <f>IF(ISNUMBER(STDEV(G8:G18)),STDEV(G8:G18),"-")</f>
        <v>727.55893232094957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788.73468289406424</v>
      </c>
      <c r="AK21" s="251"/>
      <c r="AL21" s="251">
        <f>IF(ISNUMBER(STDEV(AL8:AL18)),STDEV(AL8:AL18),"-")</f>
        <v>0</v>
      </c>
      <c r="AM21" s="253">
        <f>IF(ISNUMBER(STDEV(AM8:AM18)),STDEV(AM8:AM18),"-")</f>
        <v>0</v>
      </c>
      <c r="AN21" s="538">
        <f>IF(ISNUMBER(STDEV(AN8:AN18)),STDEV(AN8:AN18),"-")</f>
        <v>0</v>
      </c>
      <c r="AO21" s="539">
        <f>IF(ISNUMBER(STDEV(AO8:AO18)),STDEV(AO8:AO18),"-")</f>
        <v>3.7822109971775402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hr1QudszNtT7UXhkw+/nsduIefkgg8GO5BQqSl0ChwWPrpuBupISpO2uT0f4pMRBmutDjEMSdwZmNlfsLPjiQ==" saltValue="eTbhaVY8PpXfJQoroIUw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rhXWuHGpURmUOrX7Gaaw8KUbZs+mc/tYNlUdkUBL5GyZ6wQcgxmvXZMD7A7D0OSjna3SeUDvDu7kpdDfGKHVw==" saltValue="MA67vQkkSxN2kS1869IE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i5xfg94cC/+T7VLhHVde0dWoSEm+I/aI/clmli+773TGbGcaMpgmoEBPich35Woq2ZcBQEJxpcBwHcVEtFr2Q==" saltValue="GP1b4CVzFfp/gSzzUfvgQ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QUART DE POBLET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0.36836307556730558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0.2604720286723744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mYM2XuEsKt6QJDLEN5pg/aFfZtqSjWvnqlKc6jjGZIDmDZ5/NGdjM+7xuoChJqBBRc1ara+2IQwcu48NpxXqw==" saltValue="SgZfcK4U+mJ+SCUejryy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vVMCKiGEOighFn+0weH3m1yLmE7yrbsgl2QuUjGfcvmYEGMj8xUkQqIyRk3QnYdRmQVaRRwZjFRg7JKg4V7Jw==" saltValue="E/ysdiM1M3119l+iHOBd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QUART DE POBLET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3485</v>
      </c>
      <c r="D12" s="403">
        <f>IF(ISNUMBER(C12/Datos!BH12),C12/Datos!BH12," - ")</f>
        <v>1161.6666666666667</v>
      </c>
      <c r="E12" s="402">
        <f>IF(ISNUMBER(IF(J_V="SI",Datos!J12,Datos!J12+Datos!Z12)),IF(J_V="SI",Datos!J12,Datos!J12+Datos!Z12)," - ")</f>
        <v>4828</v>
      </c>
      <c r="F12" s="403">
        <f>IF(ISNUMBER(E12/B12),E12/B12," - ")</f>
        <v>1609.3333333333333</v>
      </c>
      <c r="G12" s="402">
        <f>IF(ISNUMBER(IF(J_V="SI",Datos!K12,Datos!K12+Datos!AA12)),IF(J_V="SI",Datos!K12,Datos!K12+Datos!AA12)," - ")</f>
        <v>4539</v>
      </c>
      <c r="H12" s="403">
        <f>IF(ISNUMBER(G12/B12),G12/B12," - ")</f>
        <v>1513</v>
      </c>
      <c r="I12" s="402">
        <f>IF(ISNUMBER(IF(J_V="SI",Datos!L12,Datos!L12+Datos!AB12)),IF(J_V="SI",Datos!L12,Datos!L12+Datos!AB12)," - ")</f>
        <v>3774</v>
      </c>
      <c r="J12" s="403">
        <f>IF(ISNUMBER(I12/B12),I12/B12," - ")</f>
        <v>1258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3485</v>
      </c>
      <c r="D13" s="849" t="str">
        <f>IF(ISNUMBER(C13/Datos!BI13),C13/Datos!BI13," - ")</f>
        <v xml:space="preserve"> - </v>
      </c>
      <c r="E13" s="848">
        <f>SUBTOTAL(9,E8:E12)</f>
        <v>4828</v>
      </c>
      <c r="F13" s="849">
        <f>IF(ISNUMBER(E13/B13),E13/B13," - ")</f>
        <v>1609.3333333333333</v>
      </c>
      <c r="G13" s="848">
        <f>SUBTOTAL(9,G8:G12)</f>
        <v>4539</v>
      </c>
      <c r="H13" s="849">
        <f>IF(ISNUMBER(G13/B13),G13/B13," - ")</f>
        <v>1513</v>
      </c>
      <c r="I13" s="848">
        <f>SUBTOTAL(9,I8:I12)</f>
        <v>3774</v>
      </c>
      <c r="J13" s="849">
        <f>IF(ISNUMBER(I13/B13),I13/B13," - ")</f>
        <v>1258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1328</v>
      </c>
      <c r="D16" s="403">
        <f>IF(ISNUMBER(C16/Datos!BH16),C16/Datos!BH16," - ")</f>
        <v>442.66666666666669</v>
      </c>
      <c r="E16" s="402">
        <f>IF(ISNUMBER(IF(D_I="SI",Datos!J16,Datos!J16+Datos!AD16)),IF(D_I="SI",Datos!J16,Datos!J16+Datos!AD16)," - ")</f>
        <v>3285</v>
      </c>
      <c r="F16" s="403">
        <f>IF(ISNUMBER(E16/B16),E16/B16," - ")</f>
        <v>1095</v>
      </c>
      <c r="G16" s="402">
        <f>IF(ISNUMBER(IF(D_I="SI",Datos!K16,Datos!K16+Datos!AE16)),IF(D_I="SI",Datos!K16,Datos!K16+Datos!AE16)," - ")</f>
        <v>2788</v>
      </c>
      <c r="H16" s="403">
        <f>IF(ISNUMBER(G16/B16),G16/B16," - ")</f>
        <v>929.33333333333337</v>
      </c>
      <c r="I16" s="402">
        <f>IF(ISNUMBER(IF(D_I="SI",Datos!L16,Datos!L16+Datos!AF16)),IF(D_I="SI",Datos!L16,Datos!L16+Datos!AF16)," - ")</f>
        <v>1825</v>
      </c>
      <c r="J16" s="403">
        <f>IF(ISNUMBER(I16/B16),I16/B16," - ")</f>
        <v>608.33333333333337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1330</v>
      </c>
      <c r="D18" s="849" t="str">
        <f>IF(ISNUMBER(C18/Datos!BI18),C18/Datos!BI18," - ")</f>
        <v xml:space="preserve"> - </v>
      </c>
      <c r="E18" s="848">
        <f>SUBTOTAL(9,E14:E17)</f>
        <v>3285</v>
      </c>
      <c r="F18" s="849">
        <f>IF(ISNUMBER(E18/B18),E18/B18," - ")</f>
        <v>1095</v>
      </c>
      <c r="G18" s="848">
        <f>SUBTOTAL(9,G14:G17)</f>
        <v>2790</v>
      </c>
      <c r="H18" s="849">
        <f>IF(ISNUMBER(G18/B18),G18/B18," - ")</f>
        <v>930</v>
      </c>
      <c r="I18" s="848">
        <f>SUBTOTAL(9,I14:I17)</f>
        <v>1825</v>
      </c>
      <c r="J18" s="849">
        <f>IF(ISNUMBER(I18/B18),I18/B18," - ")</f>
        <v>608.33333333333337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4815</v>
      </c>
      <c r="D19" s="794" t="str">
        <f>IF(ISNUMBER(C19/Datos!BI19),C19/Datos!BI19," - ")</f>
        <v xml:space="preserve"> - </v>
      </c>
      <c r="E19" s="793">
        <f>SUBTOTAL(9,E9:E18)</f>
        <v>8113</v>
      </c>
      <c r="F19" s="794">
        <f>IF(ISNUMBER(E19/B19),E19/B19," - ")</f>
        <v>2704.3333333333335</v>
      </c>
      <c r="G19" s="793">
        <f>SUBTOTAL(9,G9:G18)</f>
        <v>7329</v>
      </c>
      <c r="H19" s="794">
        <f>IF(ISNUMBER(G19/B19),G19/B19," - ")</f>
        <v>2443</v>
      </c>
      <c r="I19" s="793">
        <f>SUBTOTAL(9,I9:I18)</f>
        <v>5599</v>
      </c>
      <c r="J19" s="794">
        <f>IF(ISNUMBER(I19/B19),I19/B19," - ")</f>
        <v>1866.3333333333333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9qQt+pVXfbjciv5Svf9GvMAokaAeGYj5o9pPHH34XEmoYXiqAWGpIGyJEHNy3F51P9pJC+pwCTkQNApcOzLsfQ==" saltValue="RYwJz0szBHkCBI27NhQ7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QUART DE POBLET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17</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1672</v>
      </c>
      <c r="AM12" s="689">
        <f>IF(ISNUMBER(Datos!N12+DatosP!N16),Datos!N12+DatosP!N16," - ")</f>
        <v>1571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9.1460674157303377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0.15229304874531296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790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262</v>
      </c>
      <c r="AE13" s="938">
        <f t="shared" si="1"/>
        <v>0</v>
      </c>
      <c r="AF13" s="938">
        <f t="shared" si="1"/>
        <v>0</v>
      </c>
      <c r="AG13" s="938">
        <f t="shared" si="1"/>
        <v>0</v>
      </c>
      <c r="AH13" s="938">
        <f t="shared" si="1"/>
        <v>3995</v>
      </c>
      <c r="AI13" s="938">
        <f t="shared" si="1"/>
        <v>0</v>
      </c>
      <c r="AJ13" s="938">
        <f t="shared" si="1"/>
        <v>0</v>
      </c>
      <c r="AK13" s="938">
        <f t="shared" si="1"/>
        <v>0</v>
      </c>
      <c r="AL13" s="938">
        <f t="shared" si="1"/>
        <v>1672</v>
      </c>
      <c r="AM13" s="938">
        <f t="shared" si="1"/>
        <v>1588</v>
      </c>
      <c r="AN13" s="938">
        <f t="shared" si="1"/>
        <v>0</v>
      </c>
      <c r="AO13" s="938">
        <f t="shared" si="1"/>
        <v>0</v>
      </c>
      <c r="AP13" s="943">
        <f>IF(ISNUMBER(((Datos!L13/Datos!K13)*11)/factor_trimestre),((Datos!L13/Datos!K13)*11)/factor_trimestre," - ")</f>
        <v>9.1628445679870278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0.15229304874531296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7.1953405017921153</v>
      </c>
      <c r="AQ18" s="943">
        <f>IF(ISNUMBER(((Datos!M18/Datos!L18)*11)/factor_trimestre),((Datos!M18/Datos!L18)*11)/factor_trimestre," - ")</f>
        <v>2.1095890410958904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0.13407821229050279</v>
      </c>
      <c r="AW18" s="945">
        <f>IF(ISNUMBER((Datos!Q18-Datos!R18)/(Datos!S18-Datos!Q18+Datos!R18)),(Datos!Q18-Datos!R18)/(Datos!S18-Datos!Q18+Datos!R18)," - ")</f>
        <v>-8.6753731343283583E-2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790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262</v>
      </c>
      <c r="AE19" s="956">
        <f t="shared" si="5"/>
        <v>0</v>
      </c>
      <c r="AF19" s="957">
        <f t="shared" si="5"/>
        <v>0</v>
      </c>
      <c r="AG19" s="957">
        <f t="shared" si="5"/>
        <v>0</v>
      </c>
      <c r="AH19" s="957">
        <f t="shared" si="5"/>
        <v>3995</v>
      </c>
      <c r="AI19" s="957">
        <f t="shared" si="5"/>
        <v>0</v>
      </c>
      <c r="AJ19" s="958">
        <f t="shared" si="5"/>
        <v>0</v>
      </c>
      <c r="AK19" s="958">
        <f t="shared" si="5"/>
        <v>0</v>
      </c>
      <c r="AL19" s="950">
        <f t="shared" si="5"/>
        <v>1672</v>
      </c>
      <c r="AM19" s="950">
        <f t="shared" si="5"/>
        <v>1588</v>
      </c>
      <c r="AN19" s="950">
        <f t="shared" si="5"/>
        <v>0</v>
      </c>
      <c r="AO19" s="950">
        <f t="shared" si="5"/>
        <v>0</v>
      </c>
      <c r="AP19" s="950">
        <f>IF(ISNUMBER(((Datos!L19/Datos!K19)*11)/factor_trimestre),((Datos!L19/Datos!K19)*11)/factor_trimestre," - ")</f>
        <v>8.3904601097509506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0.1395285830398266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965.32965008505425</v>
      </c>
      <c r="AM21" s="735"/>
      <c r="AN21" s="735">
        <f>IF(ISNUMBER(STDEV(AN8:AN18)),STDEV(AN8:AN18),"-")</f>
        <v>0</v>
      </c>
      <c r="AO21" s="741">
        <f>IF(ISNUMBER(STDEV(AO8:AO18)),STDEV(AO8:AO18),"-")</f>
        <v>0</v>
      </c>
      <c r="AP21" s="778">
        <f>IF(ISNUMBER(STDEV(AP8:AP18)),STDEV(AP8:AP18),"-")</f>
        <v>1.1311269613453478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TSwnbRAnrKR+QqjdqMUAKzWcODxU7HtV+kRuMc/QL1dExrfh5KUyaIjriEgAdWw9/jayNq0HD9g+TR4fH2ASw==" saltValue="X7s4R/7iVVAEDsCQnpzJ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QUART DE POBLET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1r9Ul/RXkEDKNhEtTaO0OghyI86qHIYCZN0CnCjagcQq91caIj2rciqcUGTcT5LETWG4BJGIdxB/+MzTchsMKw==" saltValue="TL43+a4AcXHckzKmJDgx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QUART DE POBLET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17</v>
      </c>
      <c r="G10" s="403">
        <f>IF(ISNUMBER(F10/B10),F10/B10," - ")</f>
        <v>17</v>
      </c>
      <c r="H10" s="402">
        <f>IF(ISNUMBER(Datos!O10),Datos!O10," - ")</f>
        <v>20</v>
      </c>
      <c r="I10" s="403">
        <f t="shared" ref="I10:I12" si="2">IF(ISNUMBER(H10/B10),H10/B10," - ")</f>
        <v>20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1672</v>
      </c>
      <c r="E12" s="403">
        <f t="shared" si="0"/>
        <v>557.33333333333337</v>
      </c>
      <c r="F12" s="402">
        <f>IF(ISNUMBER(Datos!N12),Datos!N12," - ")</f>
        <v>1571</v>
      </c>
      <c r="G12" s="403">
        <f t="shared" si="1"/>
        <v>523.66666666666663</v>
      </c>
      <c r="H12" s="402">
        <f>IF(ISNUMBER(Datos!O12),Datos!O12," - ")</f>
        <v>1548</v>
      </c>
      <c r="I12" s="403">
        <f t="shared" si="2"/>
        <v>516</v>
      </c>
      <c r="BZ12" s="1185">
        <f>Datos!EZ12</f>
        <v>0</v>
      </c>
    </row>
    <row r="13" spans="1:78" ht="14.25" thickTop="1" thickBot="1">
      <c r="A13" s="847" t="str">
        <f>Datos!A13</f>
        <v>TOTAL</v>
      </c>
      <c r="B13" s="848">
        <f>Datos!AP13</f>
        <v>3</v>
      </c>
      <c r="C13" s="850">
        <f>Datos!AR13</f>
        <v>3</v>
      </c>
      <c r="D13" s="848">
        <f>SUBTOTAL(9,D9:D12)</f>
        <v>1672</v>
      </c>
      <c r="E13" s="849">
        <f t="shared" si="0"/>
        <v>557.33333333333337</v>
      </c>
      <c r="F13" s="848">
        <f>SUBTOTAL(9,F9:F12)</f>
        <v>1588</v>
      </c>
      <c r="G13" s="849">
        <f t="shared" si="1"/>
        <v>529.33333333333337</v>
      </c>
      <c r="H13" s="848">
        <f>SUBTOTAL(9,H9:H12)</f>
        <v>1568</v>
      </c>
      <c r="I13" s="849">
        <f>IF(ISNUMBER(H13/B13),H13/B13," - ")</f>
        <v>522.66666666666663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350</v>
      </c>
      <c r="E16" s="403">
        <f t="shared" si="3"/>
        <v>116.66666666666667</v>
      </c>
      <c r="F16" s="402">
        <f>IF(ISNUMBER(Datos!N16),Datos!N16," - ")</f>
        <v>1734</v>
      </c>
      <c r="G16" s="403">
        <f t="shared" si="4"/>
        <v>578</v>
      </c>
      <c r="H16" s="402">
        <f>IF(ISNUMBER(Datos!O16),Datos!O16," - ")</f>
        <v>42</v>
      </c>
      <c r="I16" s="403">
        <f t="shared" si="5"/>
        <v>14</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350</v>
      </c>
      <c r="E18" s="849">
        <f t="shared" si="3"/>
        <v>116.66666666666667</v>
      </c>
      <c r="F18" s="848">
        <f>SUBTOTAL(9,F15:F17)</f>
        <v>1734</v>
      </c>
      <c r="G18" s="849">
        <f t="shared" si="4"/>
        <v>578</v>
      </c>
      <c r="H18" s="848">
        <f>SUBTOTAL(9,H15:H17)</f>
        <v>42</v>
      </c>
      <c r="I18" s="849">
        <f>IF(ISNUMBER(H18/B18),H18/B18," - ")</f>
        <v>14</v>
      </c>
      <c r="BZ18" s="1185"/>
    </row>
    <row r="19" spans="1:78" ht="14.25" thickTop="1" thickBot="1">
      <c r="A19" s="792" t="str">
        <f>Datos!A19</f>
        <v>TOTAL JURISDICCIONES</v>
      </c>
      <c r="B19" s="793">
        <f>Datos!AP19</f>
        <v>3</v>
      </c>
      <c r="C19" s="793">
        <f>Datos!AR19</f>
        <v>3</v>
      </c>
      <c r="D19" s="793">
        <f>SUBTOTAL(9,D8:D18)</f>
        <v>2022</v>
      </c>
      <c r="E19" s="794">
        <f>IF(ISNUMBER(D19/B19),D19/B19," - ")</f>
        <v>674</v>
      </c>
      <c r="F19" s="793">
        <f>SUBTOTAL(9,F8:F18)</f>
        <v>3322</v>
      </c>
      <c r="G19" s="794">
        <f>IF(ISNUMBER(F19/B19),F19/B19," - ")</f>
        <v>1107.3333333333333</v>
      </c>
      <c r="H19" s="793">
        <f>SUBTOTAL(9,H8:H18)</f>
        <v>1610</v>
      </c>
      <c r="I19" s="794">
        <f>IF(ISNUMBER(H19/B19),H19/B19," - ")</f>
        <v>536.66666666666663</v>
      </c>
    </row>
    <row r="22" spans="1:78">
      <c r="A22" s="390" t="str">
        <f>Criterios!A4</f>
        <v>Fecha Informe: 18 mar. 2026</v>
      </c>
    </row>
    <row r="27" spans="1:78">
      <c r="A27" s="413"/>
    </row>
  </sheetData>
  <sheetProtection algorithmName="SHA-512" hashValue="If/91chts4tpqCpIShwxrWdv40Xf48NsX5I/qmjufoFwO6oraaQVBW+fBWpJfRO85wFtN6zgjLw0Gs9MGX9zzQ==" saltValue="BQusBEN/5Qr7J2cwlYSD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QUART DE POBLET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37</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790</v>
      </c>
      <c r="C12" s="433">
        <f>IF(ISNUMBER(Datos!Q12),Datos!Q12," - ")</f>
        <v>262</v>
      </c>
      <c r="D12" s="407">
        <f>IF(ISNUMBER(Datos!R12),Datos!R12," - ")</f>
        <v>3995</v>
      </c>
    </row>
    <row r="13" spans="1:4" ht="14.25" thickTop="1" thickBot="1">
      <c r="A13" s="847" t="str">
        <f>Datos!A13</f>
        <v>TOTAL</v>
      </c>
      <c r="B13" s="848">
        <f>SUBTOTAL(9,B9:B12)</f>
        <v>790</v>
      </c>
      <c r="C13" s="852">
        <f>SUBTOTAL(9,C9:C12)</f>
        <v>299</v>
      </c>
      <c r="D13" s="850">
        <f>SUBTOTAL(9,D9:D12)</f>
        <v>4003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134</v>
      </c>
      <c r="C16" s="433">
        <f>IF(ISNUMBER(Datos!Q16),Datos!Q16," - ")</f>
        <v>110</v>
      </c>
      <c r="D16" s="407">
        <f>IF(ISNUMBER(Datos!R16),Datos!R16," - ")</f>
        <v>203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134</v>
      </c>
      <c r="C18" s="852">
        <f>SUBTOTAL(9,C15:C17)</f>
        <v>110</v>
      </c>
      <c r="D18" s="850">
        <f>SUBTOTAL(9,D15:D17)</f>
        <v>203</v>
      </c>
    </row>
    <row r="19" spans="1:4" ht="16.5" customHeight="1" thickTop="1" thickBot="1">
      <c r="A19" s="792" t="str">
        <f>Datos!A19</f>
        <v>TOTAL JURISDICCIONES</v>
      </c>
      <c r="B19" s="797">
        <f>SUBTOTAL(9,B8:B18)</f>
        <v>924</v>
      </c>
      <c r="C19" s="798">
        <f>SUBTOTAL(9,C8:C18)</f>
        <v>409</v>
      </c>
      <c r="D19" s="799">
        <f>SUBTOTAL(9,D8:D18)</f>
        <v>4206</v>
      </c>
    </row>
    <row r="20" spans="1:4" ht="7.5" customHeight="1"/>
    <row r="21" spans="1:4" ht="6" customHeight="1"/>
    <row r="22" spans="1:4">
      <c r="A22" s="390" t="str">
        <f>Criterios!A4</f>
        <v>Fecha Informe: 18 mar. 2026</v>
      </c>
    </row>
    <row r="27" spans="1:4">
      <c r="A27" s="413"/>
    </row>
  </sheetData>
  <sheetProtection algorithmName="SHA-512" hashValue="R63LkT7ylUBQK32Rf5L/J98kceWO14b+ZCUi5lWuvs03jg4yGu9h1sM1forA6Se+sNgnAHljFiITnFjS47w9ww==" saltValue="6/0vimioohPIK0IJqKdn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QUART DE POBLET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3.25</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9.2819065537786141E-2</v>
      </c>
      <c r="C12" s="455">
        <f>IF(ISNUMBER(
   IF(J_V="SI",(Datos!J12-Datos!T12)/Datos!T12,(Datos!J12+Datos!Z12-(Datos!T12+Datos!AH12))/(Datos!T12+Datos!AH12))
     ),IF(J_V="SI",(Datos!J12-Datos!T12)/Datos!T12,(Datos!J12+Datos!Z12-(Datos!T12+Datos!AH12))/(Datos!T12+Datos!AH12))," - ")</f>
        <v>-8.595229079893979E-2</v>
      </c>
      <c r="D12" s="455">
        <f>IF(ISNUMBER(
   IF(J_V="SI",(Datos!K12-Datos!U12)/Datos!U12,(Datos!K12+Datos!AA12-(Datos!U12+Datos!AI12))/(Datos!U12+Datos!AI12))
     ),IF(J_V="SI",(Datos!K12-Datos!U12)/Datos!U12,(Datos!K12+Datos!AA12-(Datos!U12+Datos!AI12))/(Datos!U12+Datos!AI12))," - ")</f>
        <v>-6.7009249743062688E-2</v>
      </c>
      <c r="E12" s="455">
        <f>IF(ISNUMBER(
   IF(J_V="SI",(Datos!L12-Datos!V12)/Datos!V12,(Datos!L12+Datos!AB12-(Datos!V12+Datos!AJ12))/(Datos!V12+Datos!AJ12))
     ),IF(J_V="SI",(Datos!L12-Datos!V12)/Datos!V12,(Datos!L12+Datos!AB12-(Datos!V12+Datos!AJ12))/(Datos!V12+Datos!AJ12))," - ")</f>
        <v>8.2926829268292687E-2</v>
      </c>
      <c r="F12" s="455">
        <f>IF(ISNUMBER((Datos!M12-Datos!W12)/Datos!W12),(Datos!M12-Datos!W12)/Datos!W12," - ")</f>
        <v>2.3980815347721821E-3</v>
      </c>
      <c r="G12" s="456">
        <f>IF(ISNUMBER((Datos!N12-Datos!X12)/Datos!X12),(Datos!N12-Datos!X12)/Datos!X12," - ")</f>
        <v>7.162346521145975E-2</v>
      </c>
      <c r="H12" s="454">
        <f>IF(ISNUMBER(((NºAsuntos!G12/NºAsuntos!E12)-Datos!BD12)/Datos!BD12),((NºAsuntos!G12/NºAsuntos!E12)-Datos!BD12)/Datos!BD12," - ")</f>
        <v>2.0724346076458743E-2</v>
      </c>
      <c r="I12" s="455">
        <f>IF(ISNUMBER(((NºAsuntos!I12/NºAsuntos!G12)-Datos!BE12)/Datos!BE12),((NºAsuntos!I12/NºAsuntos!G12)-Datos!BE12)/Datos!BE12," - ")</f>
        <v>0.16070478616220402</v>
      </c>
      <c r="J12" s="460">
        <f>IF(ISNUMBER((('Resol  Asuntos'!D12/NºAsuntos!G12)-Datos!BF12)/Datos!BF12),(('Resol  Asuntos'!D12/NºAsuntos!G12)-Datos!BF12)/Datos!BF12," - ")</f>
        <v>0.22243271666776379</v>
      </c>
      <c r="K12" s="461">
        <f>IF(ISNUMBER((((NºAsuntos!C12+NºAsuntos!E12)/NºAsuntos!G12)-Datos!BG12)/Datos!BG12),(((NºAsuntos!C12+NºAsuntos!E12)/NºAsuntos!G12)-Datos!BG12)/Datos!BG12," - ")</f>
        <v>5.1830501685194333E-2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9.1450046977763863E-2</v>
      </c>
      <c r="C13" s="854">
        <f>IF(ISNUMBER(
   IF(J_V="SI",(Datos!J13-Datos!T13)/Datos!T13,(Datos!J13+Datos!Z13-(Datos!T13+Datos!AH13))/(Datos!T13+Datos!AH13))
     ),IF(J_V="SI",(Datos!J13-Datos!T13)/Datos!T13,(Datos!J13+Datos!Z13-(Datos!T13+Datos!AH13))/(Datos!T13+Datos!AH13))," - ")</f>
        <v>-8.595229079893979E-2</v>
      </c>
      <c r="D13" s="854">
        <f>IF(ISNUMBER(
   IF(J_V="SI",(Datos!K13-Datos!U13)/Datos!U13,(Datos!K13+Datos!AA13-(Datos!U13+Datos!AI13))/(Datos!U13+Datos!AI13))
     ),IF(J_V="SI",(Datos!K13-Datos!U13)/Datos!U13,(Datos!K13+Datos!AA13-(Datos!U13+Datos!AI13))/(Datos!U13+Datos!AI13))," - ")</f>
        <v>-6.7009249743062688E-2</v>
      </c>
      <c r="E13" s="854">
        <f>IF(ISNUMBER(
   IF(J_V="SI",(Datos!L13-Datos!V13)/Datos!V13,(Datos!L13+Datos!AB13-(Datos!V13+Datos!AJ13))/(Datos!V13+Datos!AJ13))
     ),IF(J_V="SI",(Datos!L13-Datos!V13)/Datos!V13,(Datos!L13+Datos!AB13-(Datos!V13+Datos!AJ13))/(Datos!V13+Datos!AJ13))," - ")</f>
        <v>8.2926829268292687E-2</v>
      </c>
      <c r="F13" s="855">
        <f>IF(ISNUMBER((Datos!M13-Datos!W13)/Datos!W13),(Datos!M13-Datos!W13)/Datos!W13," - ")</f>
        <v>2.3980815347721821E-3</v>
      </c>
      <c r="G13" s="856">
        <f>IF(ISNUMBER((Datos!N13-Datos!X13)/Datos!X13),(Datos!N13-Datos!X13)/Datos!X13," - ")</f>
        <v>8.0272108843537415E-2</v>
      </c>
      <c r="H13" s="856">
        <f>IF(ISNUMBER(((NºAsuntos!G13/NºAsuntos!E13)-Datos!BD13)/Datos!BD13),((NºAsuntos!G13/NºAsuntos!E13)-Datos!BD13)/Datos!BD13," - ")</f>
        <v>2.0724346076458743E-2</v>
      </c>
      <c r="I13" s="856">
        <f>IF(ISNUMBER(((NºAsuntos!I13/NºAsuntos!G13)-Datos!BE13)/Datos!BE13),((NºAsuntos!I13/NºAsuntos!G13)-Datos!BE13)/Datos!BE13," - ")</f>
        <v>0.16070478616220402</v>
      </c>
      <c r="J13" s="856">
        <f>IF(ISNUMBER((('Resol  Asuntos'!D13/NºAsuntos!G13)-Datos!BF13)/Datos!BF13),(('Resol  Asuntos'!D13/NºAsuntos!G13)-Datos!BF13)/Datos!BF13," - ")</f>
        <v>0.22243271666776379</v>
      </c>
      <c r="K13" s="856">
        <f>IF(ISNUMBER((((NºAsuntos!C13+NºAsuntos!E13)/NºAsuntos!G13)-Datos!BG13)/Datos!BG13),(((NºAsuntos!C13+NºAsuntos!E13)/NºAsuntos!G13)-Datos!BG13)/Datos!BG13," - ")</f>
        <v>5.1334062510357714E-2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0.38045738045738048</v>
      </c>
      <c r="C16" s="455">
        <f>IF(ISNUMBER(
   IF(D_I="SI",(Datos!J16-Datos!T16)/Datos!T16,(Datos!J16+Datos!AD16-(Datos!T16+Datos!AL16))/(Datos!T16+Datos!AL16))
     ),IF(D_I="SI",(Datos!J16-Datos!T16)/Datos!T16,(Datos!J16+Datos!AD16-(Datos!T16+Datos!AL16))/(Datos!T16+Datos!AL16))," - ")</f>
        <v>1.8298261665141812E-3</v>
      </c>
      <c r="D16" s="455">
        <f>IF(ISNUMBER(
   IF(D_I="SI",(Datos!K16-Datos!U16)/Datos!U16,(Datos!K16+Datos!AE16-(Datos!U16+Datos!AM16))/(Datos!U16+Datos!AM16))
     ),IF(D_I="SI",(Datos!K16-Datos!U16)/Datos!U16,(Datos!K16+Datos!AE16-(Datos!U16+Datos!AM16))/(Datos!U16+Datos!AM16))," - ")</f>
        <v>-4.2911088225197389E-2</v>
      </c>
      <c r="E16" s="455">
        <f>IF(ISNUMBER(
   IF(D_I="SI",(Datos!L16-Datos!V16)/Datos!V16,(Datos!L16+Datos!AF16-(Datos!V16+Datos!AN16))/(Datos!V16+Datos!AN16))
     ),IF(D_I="SI",(Datos!L16-Datos!V16)/Datos!V16,(Datos!L16+Datos!AF16-(Datos!V16+Datos!AN16))/(Datos!V16+Datos!AN16))," - ")</f>
        <v>0.37424698795180722</v>
      </c>
      <c r="F16" s="455">
        <f>IF(ISNUMBER((Datos!M16-Datos!W16)/Datos!W16),(Datos!M16-Datos!W16)/Datos!W16," - ")</f>
        <v>-2.7777777777777776E-2</v>
      </c>
      <c r="G16" s="456">
        <f>IF(ISNUMBER((Datos!N16-Datos!X16)/Datos!X16),(Datos!N16-Datos!X16)/Datos!X16," - ")</f>
        <v>-2.9115341545352745E-2</v>
      </c>
      <c r="H16" s="454">
        <f>IF(ISNUMBER(((NºAsuntos!G16/NºAsuntos!E16)-Datos!BD16)/Datos!BD16),((NºAsuntos!G16/NºAsuntos!E16)-Datos!BD16)/Datos!BD16," - ")</f>
        <v>-4.4659195826612513E-2</v>
      </c>
      <c r="I16" s="455">
        <f>IF(ISNUMBER(((NºAsuntos!I16/NºAsuntos!G16)-Datos!BE16)/Datos!BE16),((NºAsuntos!I16/NºAsuntos!G16)-Datos!BE16)/Datos!BE16," - ")</f>
        <v>0.43586136151492622</v>
      </c>
      <c r="J16" s="460">
        <f>IF(ISNUMBER((('Resol  Asuntos'!D16/NºAsuntos!G16)-Datos!BF16)/Datos!BF16),(('Resol  Asuntos'!D16/NºAsuntos!G16)-Datos!BF16)/Datos!BF16," - ")</f>
        <v>1.5811812529890036E-2</v>
      </c>
      <c r="K16" s="461">
        <f>IF(ISNUMBER((((NºAsuntos!C16+NºAsuntos!E16)/NºAsuntos!G16)-Datos!BG16)/Datos!BG16),(((NºAsuntos!C16+NºAsuntos!E16)/NºAsuntos!G16)-Datos!BG16)/Datos!BG16," - ")</f>
        <v>0.13648287858802685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-0.88235294117647056</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-0.84615384615384615</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-0.35000000000000003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0.35852911133810011</v>
      </c>
      <c r="C18" s="854">
        <f>IF(ISNUMBER(
   IF(Criterios!B14="SI",(Datos!J18-Datos!T18)/Datos!T18,(Datos!J18+Datos!AD18-(Datos!T18+Datos!AL18))/(Datos!T18+Datos!AL18))
     ),IF(Criterios!B14="SI",(Datos!J18-Datos!T18)/Datos!T18,(Datos!J18+Datos!AD18-(Datos!T18+Datos!AL18))/(Datos!T18+Datos!AL18))," - ")</f>
        <v>9.1407678244972577E-4</v>
      </c>
      <c r="D18" s="854">
        <f>IF(ISNUMBER(
   IF(Criterios!B14="SI",(Datos!K18-Datos!U18)/Datos!U18,(Datos!K18+Datos!AE18-(Datos!U18+Datos!AM18))/(Datos!U18+Datos!AM18))
     ),IF(Criterios!B14="SI",(Datos!K18-Datos!U18)/Datos!U18,(Datos!K18+Datos!AE18-(Datos!U18+Datos!AM18))/(Datos!U18+Datos!AM18))," - ")</f>
        <v>-4.6479835953520163E-2</v>
      </c>
      <c r="E18" s="854">
        <f>IF(ISNUMBER(
   IF(Criterios!B14="SI",(Datos!L18-Datos!V18)/Datos!V18,(Datos!L18+Datos!AF18-(Datos!V18+Datos!AN18))/(Datos!V18+Datos!AN18))
     ),IF(Criterios!B14="SI",(Datos!L18-Datos!V18)/Datos!V18,(Datos!L18+Datos!AF18-(Datos!V18+Datos!AN18))/(Datos!V18+Datos!AN18))," - ")</f>
        <v>0.37218045112781956</v>
      </c>
      <c r="F18" s="855">
        <f>IF(ISNUMBER((Datos!M18-Datos!W18)/Datos!W18),(Datos!M18-Datos!W18)/Datos!W18," - ")</f>
        <v>-2.7777777777777776E-2</v>
      </c>
      <c r="G18" s="856">
        <f>IF(ISNUMBER((Datos!N18-Datos!X18)/Datos!X18),(Datos!N18-Datos!X18)/Datos!X18," - ")</f>
        <v>-3.3983286908077996E-2</v>
      </c>
      <c r="H18" s="856">
        <f>IF(ISNUMBER(((NºAsuntos!G18/NºAsuntos!E18)-Datos!BD18)/Datos!BD18),((NºAsuntos!G18/NºAsuntos!E18)-Datos!BD18)/Datos!BD18," - ")</f>
        <v>-4.7350630623882305E-2</v>
      </c>
      <c r="I18" s="856">
        <f>IF(ISNUMBER(((NºAsuntos!I18/NºAsuntos!G18)-Datos!BE18)/Datos!BE18),((NºAsuntos!I18/NºAsuntos!G18)-Datos!BE18)/Datos!BE18," - ")</f>
        <v>0.43906810035842303</v>
      </c>
      <c r="J18" s="856">
        <f>IF(ISNUMBER((('Resol  Asuntos'!D18/NºAsuntos!G18)-Datos!BF18)/Datos!BF18),(('Resol  Asuntos'!D18/NºAsuntos!G18)-Datos!BF18)/Datos!BF18," - ")</f>
        <v>1.9613699721226559E-2</v>
      </c>
      <c r="K18" s="856">
        <f>IF(ISNUMBER((((NºAsuntos!C18+NºAsuntos!E18)/NºAsuntos!G18)-Datos!BG18)/Datos!BG18),(((NºAsuntos!C18+NºAsuntos!E18)/NºAsuntos!G18)-Datos!BG18)/Datos!BG18," - ")</f>
        <v>0.13587434251976124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0.15412272291466922</v>
      </c>
      <c r="C19" s="801">
        <f>IF(ISNUMBER(
   IF(J_V="SI",(Datos!J19-Datos!T19)/Datos!T19,(Datos!J19+Datos!Z19-(Datos!T19+Datos!AH19))/(Datos!T19+Datos!AH19))
     ),IF(J_V="SI",(Datos!J19-Datos!T19)/Datos!T19,(Datos!J19+Datos!Z19-(Datos!T19+Datos!AH19))/(Datos!T19+Datos!AH19))," - ")</f>
        <v>-5.2662307333021956E-2</v>
      </c>
      <c r="D19" s="801">
        <f>IF(ISNUMBER(
   IF(J_V="SI",(Datos!K19-Datos!U19)/Datos!U19,(Datos!K19+Datos!AA19-(Datos!U19+Datos!AI19))/(Datos!U19+Datos!AI19))
     ),IF(J_V="SI",(Datos!K19-Datos!U19)/Datos!U19,(Datos!K19+Datos!AA19-(Datos!U19+Datos!AI19))/(Datos!U19+Datos!AI19))," - ")</f>
        <v>-5.9299191374663072E-2</v>
      </c>
      <c r="E19" s="801">
        <f>IF(ISNUMBER(
   IF(J_V="SI",(Datos!L19-Datos!V19)/Datos!V19,(Datos!L19+Datos!AB19-(Datos!V19+Datos!AJ19))/(Datos!V19+Datos!AJ19))
     ),IF(J_V="SI",(Datos!L19-Datos!V19)/Datos!V19,(Datos!L19+Datos!AB19-(Datos!V19+Datos!AJ19))/(Datos!V19+Datos!AJ19))," - ")</f>
        <v>0.16282450674974039</v>
      </c>
      <c r="F19" s="802">
        <f>IF(ISNUMBER((Datos!M19-Datos!W19)/Datos!W19),(Datos!M19-Datos!W19)/Datos!W19," - ")</f>
        <v>-2.9585798816568047E-3</v>
      </c>
      <c r="G19" s="803">
        <f>IF(ISNUMBER((Datos!N19-Datos!X19)/Datos!X19),(Datos!N19-Datos!X19)/Datos!X19," - ")</f>
        <v>1.7457886676875957E-2</v>
      </c>
      <c r="H19" s="804">
        <f>IF(ISNUMBER((Tasas!B19-Datos!BD19)/Datos!BD19),(Tasas!B19-Datos!BD19)/Datos!BD19," - ")</f>
        <v>-7.0058270593633199E-3</v>
      </c>
      <c r="I19" s="805">
        <f>IF(ISNUMBER((Tasas!C19-Datos!BE19)/Datos!BE19),(Tasas!C19-Datos!BE19)/Datos!BE19," - ")</f>
        <v>0.23612576505488153</v>
      </c>
      <c r="J19" s="806">
        <f>IF(ISNUMBER((Tasas!D19-Datos!BF19)/Datos!BF19),(Tasas!D19-Datos!BF19)/Datos!BF19," - ")</f>
        <v>0.17714201426701856</v>
      </c>
      <c r="K19" s="806">
        <f>IF(ISNUMBER((Tasas!E19-Datos!BG19)/Datos!BG19),(Tasas!E19-Datos!BG19)/Datos!BG19," - ")</f>
        <v>7.9062936458798208E-2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J6X+lS53Ix2jOAwEY0t1xp+/bvZe9mhSxLPAXb0hAklhC68UZTbR47h/3xINr2MyPYyVO+gY0FZlhVsSn+fuQ==" saltValue="IcK7T+L6iL9NZlHAu3k1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QUART DE POBLET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0.9401408450704225</v>
      </c>
      <c r="C12" s="442">
        <f>IF(ISNUMBER(NºAsuntos!I12/NºAsuntos!G12),NºAsuntos!I12/NºAsuntos!G12," - ")</f>
        <v>0.8314606741573034</v>
      </c>
      <c r="D12" s="443">
        <f>IF(ISNUMBER('Resol  Asuntos'!D12/NºAsuntos!G12),'Resol  Asuntos'!D12/NºAsuntos!G12," - ")</f>
        <v>0.36836307556730558</v>
      </c>
      <c r="E12" s="444">
        <f>IF(ISNUMBER((NºAsuntos!C12+NºAsuntos!E12)/NºAsuntos!G12),(NºAsuntos!C12+NºAsuntos!E12)/NºAsuntos!G12," - ")</f>
        <v>1.8314606741573034</v>
      </c>
      <c r="G12" s="462"/>
    </row>
    <row r="13" spans="1:7" ht="14.25" thickTop="1" thickBot="1">
      <c r="A13" s="847" t="str">
        <f>Datos!A13</f>
        <v>TOTAL</v>
      </c>
      <c r="B13" s="857">
        <f>IF(ISNUMBER(NºAsuntos!G13/NºAsuntos!E13),NºAsuntos!G13/NºAsuntos!E13," - ")</f>
        <v>0.9401408450704225</v>
      </c>
      <c r="C13" s="858">
        <f>IF(ISNUMBER(NºAsuntos!I13/NºAsuntos!G13),NºAsuntos!I13/NºAsuntos!G13," - ")</f>
        <v>0.8314606741573034</v>
      </c>
      <c r="D13" s="859">
        <f>IF(ISNUMBER('Resol  Asuntos'!D13/NºAsuntos!G13),'Resol  Asuntos'!D13/NºAsuntos!G13," - ")</f>
        <v>0.36836307556730558</v>
      </c>
      <c r="E13" s="860">
        <f>IF(ISNUMBER((NºAsuntos!C13+NºAsuntos!E13)/NºAsuntos!G13),(NºAsuntos!C13+NºAsuntos!E13)/NºAsuntos!G13," - ")</f>
        <v>1.8314606741573034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0.84870624048706245</v>
      </c>
      <c r="C16" s="442">
        <f>IF(ISNUMBER(NºAsuntos!I16/NºAsuntos!G16),NºAsuntos!I16/NºAsuntos!G16," - ")</f>
        <v>0.65459110473457671</v>
      </c>
      <c r="D16" s="443">
        <f>IF(ISNUMBER('Resol  Asuntos'!D16/NºAsuntos!G16),'Resol  Asuntos'!D16/NºAsuntos!G16," - ")</f>
        <v>0.12553802008608322</v>
      </c>
      <c r="E16" s="444">
        <f>IF(ISNUMBER((NºAsuntos!C16+NºAsuntos!E16)/NºAsuntos!G16),(NºAsuntos!C16+NºAsuntos!E16)/NºAsuntos!G16," - ")</f>
        <v>1.6545911047345767</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0.84931506849315064</v>
      </c>
      <c r="C18" s="858">
        <f>IF(ISNUMBER(NºAsuntos!I18/NºAsuntos!G18),NºAsuntos!I18/NºAsuntos!G18," - ")</f>
        <v>0.65412186379928317</v>
      </c>
      <c r="D18" s="861">
        <f>IF(ISNUMBER('Resol  Asuntos'!D18/NºAsuntos!G18),'Resol  Asuntos'!D18/NºAsuntos!G18," - ")</f>
        <v>0.12544802867383512</v>
      </c>
      <c r="E18" s="860">
        <f>IF(ISNUMBER((NºAsuntos!C18+NºAsuntos!E18)/NºAsuntos!G18),(NºAsuntos!C18+NºAsuntos!E18)/NºAsuntos!G18," - ")</f>
        <v>1.6541218637992832</v>
      </c>
      <c r="G18" s="462"/>
    </row>
    <row r="19" spans="1:7" ht="15.75" customHeight="1" thickTop="1" thickBot="1">
      <c r="A19" s="792" t="str">
        <f>Datos!A19</f>
        <v>TOTAL JURISDICCIONES</v>
      </c>
      <c r="B19" s="807">
        <f>IF(ISNUMBER(NºAsuntos!G19/NºAsuntos!E19),NºAsuntos!G19/NºAsuntos!E19," - ")</f>
        <v>0.90336496980155301</v>
      </c>
      <c r="C19" s="808">
        <f>IF(ISNUMBER(NºAsuntos!I19/NºAsuntos!G19),NºAsuntos!I19/NºAsuntos!G19," - ")</f>
        <v>0.76395142584254327</v>
      </c>
      <c r="D19" s="809">
        <f>IF(ISNUMBER('Resol  Asuntos'!D19/NºAsuntos!G19),'Resol  Asuntos'!D19/NºAsuntos!G19," - ")</f>
        <v>0.27589029881293492</v>
      </c>
      <c r="E19" s="810">
        <f>IF(ISNUMBER((NºAsuntos!C19+NºAsuntos!E19)/NºAsuntos!G19),(NºAsuntos!C19+NºAsuntos!E19)/NºAsuntos!G19," - ")</f>
        <v>1.7639514258425433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UEOv4ibfwcSwpLobt3ZP7FdjhmolSsBs0bWQt3rN7qcVkXCUVWfkEpR7ASJo+DoJXo6P+XzD2Zeh054jH8zWw==" saltValue="5ybc06pNZDNNkXBwtJXW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QUART DE POBLET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37</v>
      </c>
      <c r="Y10" s="333">
        <f t="shared" ref="Y10:Y12" si="0">SUM(W10:X10)</f>
        <v>37</v>
      </c>
      <c r="Z10" s="334" t="str">
        <f>IF(ISNUMBER(Datos!CC10),Datos!CC10," - ")</f>
        <v xml:space="preserve"> - </v>
      </c>
      <c r="AA10" s="331">
        <f>IF(ISNUMBER(Datos!L10),Datos!L10,"-")</f>
        <v>0</v>
      </c>
      <c r="AB10" s="333">
        <f>IF(ISNUMBER(Datos!R10),Datos!R10," - ")</f>
        <v>8</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262</v>
      </c>
      <c r="Y12" s="333">
        <f t="shared" si="0"/>
        <v>262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1672</v>
      </c>
      <c r="AJ12" s="228" t="str">
        <f>IF(ISNUMBER(Datos!BW12),Datos!BW12," - ")</f>
        <v xml:space="preserve"> - </v>
      </c>
      <c r="AK12" s="227" t="str">
        <f>IF(ISNUMBER(Datos!BX12),Datos!BX12," - ")</f>
        <v xml:space="preserve"> - </v>
      </c>
      <c r="AL12" s="242">
        <f>IF(ISNUMBER(NºAsuntos!G12/NºAsuntos!E12),NºAsuntos!G12/NºAsuntos!E12," - ")</f>
        <v>0.9401408450704225</v>
      </c>
      <c r="AM12" s="259">
        <f>IF(ISNUMBER(((NºAsuntos!I12/NºAsuntos!G12)*11)/factor_trimestre),((NºAsuntos!I12/NºAsuntos!G12)*11)/factor_trimestre," - ")</f>
        <v>9.1460674157303377</v>
      </c>
      <c r="AN12" s="243">
        <f>IF(ISNUMBER('Resol  Asuntos'!D12/NºAsuntos!G12),'Resol  Asuntos'!D12/NºAsuntos!G12," - ")</f>
        <v>0.36836307556730558</v>
      </c>
      <c r="AO12" s="244">
        <f>IF(ISNUMBER((NºAsuntos!C12+NºAsuntos!E12)/NºAsuntos!G12),(NºAsuntos!C12+NºAsuntos!E12)/NºAsuntos!G12," - ")</f>
        <v>1.8314606741573034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790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299</v>
      </c>
      <c r="Y13" s="867">
        <f t="shared" si="4"/>
        <v>299</v>
      </c>
      <c r="Z13" s="867">
        <f t="shared" si="4"/>
        <v>0</v>
      </c>
      <c r="AA13" s="867">
        <f t="shared" si="4"/>
        <v>0</v>
      </c>
      <c r="AB13" s="867">
        <f t="shared" si="4"/>
        <v>4003</v>
      </c>
      <c r="AC13" s="867">
        <f t="shared" si="4"/>
        <v>8</v>
      </c>
      <c r="AD13" s="867">
        <f t="shared" si="4"/>
        <v>0</v>
      </c>
      <c r="AE13" s="871">
        <f t="shared" si="4"/>
        <v>0</v>
      </c>
      <c r="AF13" s="864">
        <f t="shared" si="4"/>
        <v>0</v>
      </c>
      <c r="AG13" s="872">
        <f t="shared" si="4"/>
        <v>0</v>
      </c>
      <c r="AH13" s="869">
        <f t="shared" si="4"/>
        <v>0</v>
      </c>
      <c r="AI13" s="864">
        <f t="shared" si="4"/>
        <v>1672</v>
      </c>
      <c r="AJ13" s="866">
        <f t="shared" si="4"/>
        <v>0</v>
      </c>
      <c r="AK13" s="869">
        <f>SUBTOTAL(9,AK9:AK12)</f>
        <v>0</v>
      </c>
      <c r="AL13" s="873">
        <f>IF(ISNUMBER(NºAsuntos!G13/NºAsuntos!E13),NºAsuntos!G13/NºAsuntos!E13," - ")</f>
        <v>0.9401408450704225</v>
      </c>
      <c r="AM13" s="873">
        <f>IF(ISNUMBER(((NºAsuntos!I13/NºAsuntos!G13)*11)/factor_trimestre),((NºAsuntos!I13/NºAsuntos!G13)*11)/factor_trimestre," - ")</f>
        <v>9.1460674157303377</v>
      </c>
      <c r="AN13" s="874">
        <f>IF(ISNUMBER('Resol  Asuntos'!D13/NºAsuntos!G13),'Resol  Asuntos'!D13/NºAsuntos!G13," - ")</f>
        <v>0.36836307556730558</v>
      </c>
      <c r="AO13" s="875">
        <f>IF(ISNUMBER((NºAsuntos!C13+NºAsuntos!E13)/NºAsuntos!G13),(NºAsuntos!C13+NºAsuntos!E13)/NºAsuntos!G13," - ")</f>
        <v>1.8314606741573034</v>
      </c>
      <c r="AP13" s="876" t="str">
        <f t="shared" si="2"/>
        <v xml:space="preserve"> - </v>
      </c>
      <c r="AQ13" s="876" t="str">
        <f>IF(ISNUMBER((H13-W13+K13)/(F13)),(H13-W13+K13)/(F13)," - ")</f>
        <v xml:space="preserve"> - </v>
      </c>
      <c r="AR13" s="877">
        <f>IF(ISNUMBER((Datos!P13-Datos!Q13)/(Datos!R13-Datos!P13+Datos!Q13)),(Datos!P13-Datos!Q13)/(Datos!R13-Datos!P13+Datos!Q13)," - ")</f>
        <v>0.13980637813211846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1328</v>
      </c>
      <c r="G16" s="332">
        <f>IF(ISNUMBER(IF(D_I="SI",Datos!I16,Datos!I16+Datos!AC16)),IF(D_I="SI",Datos!I16,Datos!I16+Datos!AC16)," - ")</f>
        <v>1328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2788</v>
      </c>
      <c r="X16" s="225">
        <f>IF(ISNUMBER(Datos!Q16),Datos!Q16," - ")</f>
        <v>110</v>
      </c>
      <c r="Y16" s="333">
        <f t="shared" ref="Y16:Y17" si="7">SUM(W16:X16)</f>
        <v>2898</v>
      </c>
      <c r="Z16" s="334" t="str">
        <f>IF(ISNUMBER(Datos!CC16),Datos!CC16," - ")</f>
        <v xml:space="preserve"> - </v>
      </c>
      <c r="AA16" s="331">
        <f>IF(ISNUMBER(IF(D_I="SI",Datos!L16,Datos!L16+Datos!AF16)),IF(D_I="SI",Datos!L16,Datos!L16+Datos!AF16)," - ")</f>
        <v>1825</v>
      </c>
      <c r="AB16" s="333">
        <f>IF(ISNUMBER(Datos!R16),Datos!R16," - ")</f>
        <v>203</v>
      </c>
      <c r="AC16" s="333">
        <f t="shared" si="6"/>
        <v>2028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350</v>
      </c>
      <c r="AJ16" s="230" t="str">
        <f>IF(ISNUMBER(Datos!BW16),Datos!BW16," - ")</f>
        <v xml:space="preserve"> - </v>
      </c>
      <c r="AK16" s="231" t="str">
        <f>IF(ISNUMBER(Datos!BX16),Datos!BX16," - ")</f>
        <v xml:space="preserve"> - </v>
      </c>
      <c r="AL16" s="242">
        <f>IF(ISNUMBER(NºAsuntos!G16/NºAsuntos!E16),NºAsuntos!G16/NºAsuntos!E16," - ")</f>
        <v>0.84870624048706245</v>
      </c>
      <c r="AM16" s="259">
        <f>IF(ISNUMBER(((NºAsuntos!I16/NºAsuntos!G16)*11)/factor_trimestre),((NºAsuntos!I16/NºAsuntos!G16)*11)/factor_trimestre," - ")</f>
        <v>7.2005021520803441</v>
      </c>
      <c r="AN16" s="243">
        <f>IF(ISNUMBER('Resol  Asuntos'!D16/NºAsuntos!G16),'Resol  Asuntos'!D16/NºAsuntos!G16," - ")</f>
        <v>0.12553802008608322</v>
      </c>
      <c r="AO16" s="244">
        <f>IF(ISNUMBER((NºAsuntos!C16+NºAsuntos!E16)/NºAsuntos!G16),(NºAsuntos!C16+NºAsuntos!E16)/NºAsuntos!G16," - ")</f>
        <v>1.6545911047345767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1328</v>
      </c>
      <c r="G18" s="865">
        <f>SUBTOTAL(9,G15:G17)</f>
        <v>1330</v>
      </c>
      <c r="H18" s="864">
        <f t="shared" ref="H18:O18" si="10">SUBTOTAL(9,H14:H17)</f>
        <v>0</v>
      </c>
      <c r="I18" s="866">
        <f t="shared" si="10"/>
        <v>0</v>
      </c>
      <c r="J18" s="866">
        <f t="shared" si="10"/>
        <v>0</v>
      </c>
      <c r="K18" s="866">
        <f t="shared" si="10"/>
        <v>0</v>
      </c>
      <c r="L18" s="866">
        <f t="shared" si="10"/>
        <v>134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2790</v>
      </c>
      <c r="X18" s="866">
        <f t="shared" si="11"/>
        <v>110</v>
      </c>
      <c r="Y18" s="867">
        <f t="shared" si="11"/>
        <v>2900</v>
      </c>
      <c r="Z18" s="867">
        <f t="shared" si="11"/>
        <v>0</v>
      </c>
      <c r="AA18" s="867">
        <f t="shared" si="11"/>
        <v>1825</v>
      </c>
      <c r="AB18" s="867">
        <f t="shared" si="11"/>
        <v>203</v>
      </c>
      <c r="AC18" s="867">
        <f t="shared" si="11"/>
        <v>2028</v>
      </c>
      <c r="AD18" s="867">
        <f t="shared" si="11"/>
        <v>0</v>
      </c>
      <c r="AE18" s="871">
        <f t="shared" si="11"/>
        <v>0</v>
      </c>
      <c r="AF18" s="864">
        <f t="shared" si="11"/>
        <v>0</v>
      </c>
      <c r="AG18" s="872">
        <f t="shared" si="11"/>
        <v>0</v>
      </c>
      <c r="AH18" s="869">
        <f t="shared" si="11"/>
        <v>0</v>
      </c>
      <c r="AI18" s="864">
        <f t="shared" si="11"/>
        <v>350</v>
      </c>
      <c r="AJ18" s="866">
        <f t="shared" si="11"/>
        <v>0</v>
      </c>
      <c r="AK18" s="869">
        <f t="shared" si="11"/>
        <v>0</v>
      </c>
      <c r="AL18" s="873">
        <f>IF(ISNUMBER(NºAsuntos!G18/NºAsuntos!E18),NºAsuntos!G18/NºAsuntos!E18," - ")</f>
        <v>0.84931506849315064</v>
      </c>
      <c r="AM18" s="873">
        <f>IF(ISNUMBER(((NºAsuntos!I18/NºAsuntos!G18)*11)/factor_trimestre),((NºAsuntos!I18/NºAsuntos!G18)*11)/factor_trimestre," - ")</f>
        <v>7.1953405017921153</v>
      </c>
      <c r="AN18" s="874">
        <f>IF(ISNUMBER('Resol  Asuntos'!D18/NºAsuntos!G18),'Resol  Asuntos'!D18/NºAsuntos!G18," - ")</f>
        <v>0.12544802867383512</v>
      </c>
      <c r="AO18" s="875">
        <f>IF(ISNUMBER((NºAsuntos!C18+NºAsuntos!E18)/NºAsuntos!G18),(NºAsuntos!C18+NºAsuntos!E18)/NºAsuntos!G18," - ")</f>
        <v>1.6541218637992832</v>
      </c>
      <c r="AP18" s="876" t="str">
        <f t="shared" si="2"/>
        <v xml:space="preserve"> - </v>
      </c>
      <c r="AQ18" s="876">
        <f>IF(ISNUMBER((H18-W18+K18)/(F18)),(H18-W18+K18)/(F18)," - ")</f>
        <v>-2.1009036144578315</v>
      </c>
      <c r="AR18" s="877">
        <f>IF(ISNUMBER((Datos!P18-Datos!Q18)/(Datos!R18-Datos!P18+Datos!Q18)),(Datos!P18-Datos!Q18)/(Datos!R18-Datos!P18+Datos!Q18)," - ")</f>
        <v>0.13407821229050279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1328</v>
      </c>
      <c r="G19" s="820">
        <f t="shared" si="13"/>
        <v>1330</v>
      </c>
      <c r="H19" s="819">
        <f t="shared" si="13"/>
        <v>0</v>
      </c>
      <c r="I19" s="821">
        <f t="shared" si="13"/>
        <v>0</v>
      </c>
      <c r="J19" s="821">
        <f t="shared" si="13"/>
        <v>0</v>
      </c>
      <c r="K19" s="880">
        <f t="shared" si="13"/>
        <v>0</v>
      </c>
      <c r="L19" s="821">
        <f t="shared" si="13"/>
        <v>924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2790</v>
      </c>
      <c r="X19" s="820">
        <f t="shared" si="14"/>
        <v>409</v>
      </c>
      <c r="Y19" s="827">
        <f t="shared" si="14"/>
        <v>3199</v>
      </c>
      <c r="Z19" s="827">
        <f t="shared" si="14"/>
        <v>0</v>
      </c>
      <c r="AA19" s="827">
        <f t="shared" si="14"/>
        <v>1825</v>
      </c>
      <c r="AB19" s="827">
        <f t="shared" si="14"/>
        <v>4206</v>
      </c>
      <c r="AC19" s="827">
        <f t="shared" si="14"/>
        <v>2036</v>
      </c>
      <c r="AD19" s="827">
        <f t="shared" si="14"/>
        <v>0</v>
      </c>
      <c r="AE19" s="829">
        <f t="shared" si="14"/>
        <v>0</v>
      </c>
      <c r="AF19" s="830">
        <f t="shared" si="14"/>
        <v>0</v>
      </c>
      <c r="AG19" s="831">
        <f t="shared" si="14"/>
        <v>0</v>
      </c>
      <c r="AH19" s="829">
        <f t="shared" si="14"/>
        <v>0</v>
      </c>
      <c r="AI19" s="819">
        <f t="shared" si="14"/>
        <v>2022</v>
      </c>
      <c r="AJ19" s="819">
        <f t="shared" si="14"/>
        <v>0</v>
      </c>
      <c r="AK19" s="829">
        <f t="shared" si="14"/>
        <v>0</v>
      </c>
      <c r="AL19" s="883">
        <f>IF(ISNUMBER(NºAsuntos!G19/NºAsuntos!E19),NºAsuntos!G19/NºAsuntos!E19," - ")</f>
        <v>0.90336496980155301</v>
      </c>
      <c r="AM19" s="884">
        <f>IF(ISNUMBER(((NºAsuntos!I19/NºAsuntos!G19)*11)/factor_trimestre),((NºAsuntos!I19/NºAsuntos!G19)*11)/factor_trimestre," - ")</f>
        <v>8.4034656842679762</v>
      </c>
      <c r="AN19" s="884">
        <f>IF(ISNUMBER('Resol  Asuntos'!D19/NºAsuntos!G19),'Resol  Asuntos'!D19/NºAsuntos!G19," - ")</f>
        <v>0.27589029881293492</v>
      </c>
      <c r="AO19" s="885">
        <f>IF(ISNUMBER((NºAsuntos!C19+NºAsuntos!E19)/NºAsuntos!G19),(NºAsuntos!C19+NºAsuntos!E19)/NºAsuntos!G19," - ")</f>
        <v>1.7639514258425433</v>
      </c>
      <c r="AP19" s="886" t="str">
        <f t="shared" si="2"/>
        <v xml:space="preserve"> - </v>
      </c>
      <c r="AQ19" s="887">
        <f>IF(OR(ISNUMBER(FIND("01",Criterios!A8,1)),ISNUMBER(FIND("02",Criterios!A8,1)),ISNUMBER(FIND("03",Criterios!A8,1)),ISNUMBER(FIND("04",Criterios!A8,1))),(I19-W19+K19)/(F19-K19),(H19-W19+K19)/(F19-K19))</f>
        <v>-2.1009036144578315</v>
      </c>
      <c r="AR19" s="888">
        <f>IF(ISNUMBER((Datos!P19-Datos!Q19)/(Datos!R19-Datos!P19+Datos!Q19)),(Datos!P19-Datos!Q19)/(Datos!R19-Datos!P19+Datos!Q19)," - ")</f>
        <v>0.1395285830398266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766.72115748382305</v>
      </c>
      <c r="G21" s="252">
        <f>IF(ISNUMBER(STDEV(G8:G18)),STDEV(G8:G18),"-")</f>
        <v>727.55893232094957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1527.2334464645542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788.73468289406424</v>
      </c>
      <c r="AJ21" s="251">
        <f t="shared" si="18"/>
        <v>0</v>
      </c>
      <c r="AK21" s="253">
        <f t="shared" si="18"/>
        <v>0</v>
      </c>
      <c r="AL21" s="248">
        <f t="shared" si="18"/>
        <v>5.2614627151820331E-2</v>
      </c>
      <c r="AM21" s="249">
        <f t="shared" si="18"/>
        <v>3.7822109971775402</v>
      </c>
      <c r="AN21" s="249">
        <f t="shared" si="18"/>
        <v>0.16413762160455167</v>
      </c>
      <c r="AO21" s="250">
        <f t="shared" si="18"/>
        <v>0.34383736337977594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eOX88NMLElPet7XAA3RZLMUM/2YdJw5GJD26V1sqCRHQ+SmDb3RXSfVexuQxEZHbxBSJ9F9DY/GskWShAYPOA==" saltValue="RJ8HrCzG7qW7d2W1vQ1Q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QUART DE POBLET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2.3980815347721821E-3</v>
      </c>
      <c r="I12" s="349">
        <f>IF(ISNUMBER((Tasas!C12-Datos!BE12)/Datos!BE12),(Tasas!C12-Datos!BE12)/Datos!BE12," - ")</f>
        <v>0.16070478616220402</v>
      </c>
      <c r="J12" s="348">
        <f>IF(ISNUMBER((Tasas!D12-Datos!BF12)/Datos!BF12),(Tasas!D12-Datos!BF12)/Datos!BF12," - ")</f>
        <v>0.22243271666776379</v>
      </c>
      <c r="K12" s="350">
        <f>IF(ISNUMBER((Tasas!E12-Datos!BG12)/Datos!BG12),(Tasas!E12-Datos!BG12)/Datos!BG12," - ")</f>
        <v>5.1830501685194333E-2</v>
      </c>
      <c r="M12" t="e">
        <f>IF(Monitorios="SI",Datos!CE12,0)</f>
        <v>#REF!</v>
      </c>
      <c r="N12" t="e">
        <f>IF(Monitorios="SI",Datos!CF12,0)</f>
        <v>#REF!</v>
      </c>
      <c r="O12" t="e">
        <f>IF(Monitorios="SI",Datos!CG12,0)</f>
        <v>#REF!</v>
      </c>
      <c r="P12" t="e">
        <f>IF(Monitorios="SI",Datos!CH12,0)</f>
        <v>#REF!</v>
      </c>
      <c r="Q12">
        <f>IF(J_V="SI",0,Datos!AG12)</f>
        <v>53</v>
      </c>
      <c r="R12">
        <f>IF(J_V="SI",0,Datos!AH12)</f>
        <v>220</v>
      </c>
      <c r="S12">
        <f>IF(J_V="SI",0,Datos!AI12)</f>
        <v>244</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2.3980815347721821E-3</v>
      </c>
      <c r="I13" s="356">
        <f>IF(ISNUMBER((Tasas!C13-Datos!BE13)/Datos!BE13),(Tasas!C13-Datos!BE13)/Datos!BE13," - ")</f>
        <v>0.16070478616220402</v>
      </c>
      <c r="J13" s="354">
        <f>IF(ISNUMBER((Tasas!D13-Datos!BF13)/Datos!BF13),(Tasas!D13-Datos!BF13)/Datos!BF13," - ")</f>
        <v>0.22243271666776379</v>
      </c>
      <c r="K13" s="357">
        <f>IF(ISNUMBER((Tasas!E13-Datos!BG13)/Datos!BG13),(Tasas!E13-Datos!BG13)/Datos!BG13," - ")</f>
        <v>5.1334062510357714E-2</v>
      </c>
      <c r="M13" t="e">
        <f>IF(Monitorios="SI",Datos!CE13,0)</f>
        <v>#REF!</v>
      </c>
      <c r="N13" t="e">
        <f>IF(Monitorios="SI",Datos!CF13,0)</f>
        <v>#REF!</v>
      </c>
      <c r="O13" t="e">
        <f>IF(Monitorios="SI",Datos!CG13,0)</f>
        <v>#REF!</v>
      </c>
      <c r="P13" t="e">
        <f>IF(Monitorios="SI",Datos!CH13,0)</f>
        <v>#REF!</v>
      </c>
      <c r="Q13">
        <f>IF(J_V="SI",0,Datos!AG13)</f>
        <v>53</v>
      </c>
      <c r="R13">
        <f>IF(J_V="SI",0,Datos!AH13)</f>
        <v>220</v>
      </c>
      <c r="S13">
        <f>IF(J_V="SI",0,Datos!AI13)</f>
        <v>244</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0.38045738045738048</v>
      </c>
      <c r="E16" s="347">
        <f>IF(ISNUMBER(
   IF(D_I="SI",(Datos!J16-Datos!T16)/Datos!T16,(Datos!J16+Datos!AD16-(Datos!T16+Datos!AL16))/(Datos!T16+Datos!AL16))
     ),IF(D_I="SI",(Datos!J16-Datos!T16)/Datos!T16,(Datos!J16+Datos!AD16-(Datos!T16+Datos!AL16))/(Datos!T16+Datos!AL16))," - ")</f>
        <v>1.8298261665141812E-3</v>
      </c>
      <c r="F16" s="347">
        <f>IF(ISNUMBER(
   IF(D_I="SI",(Datos!K16-Datos!U16)/Datos!U16,(Datos!K16+Datos!AE16-(Datos!U16+Datos!AM16))/(Datos!U16+Datos!AM16))
     ),IF(D_I="SI",(Datos!K16-Datos!U16)/Datos!U16,(Datos!K16+Datos!AE16-(Datos!U16+Datos!AM16))/(Datos!U16+Datos!AM16))," - ")</f>
        <v>-4.2911088225197389E-2</v>
      </c>
      <c r="G16" s="348">
        <f>IF(ISNUMBER(
   IF(D_I="SI",(Datos!L16-Datos!V16)/Datos!V16,(Datos!L16+Datos!AF16-(Datos!V16+Datos!AN16))/(Datos!V16+Datos!AN16))
     ),IF(D_I="SI",(Datos!L16-Datos!V16)/Datos!V16,(Datos!L16+Datos!AF16-(Datos!V16+Datos!AN16))/(Datos!V16+Datos!AN16))," - ")</f>
        <v>0.37424698795180722</v>
      </c>
      <c r="H16" s="229">
        <f>IF(ISNUMBER((Datos!M16-Datos!W16)/Datos!W16),(Datos!M16-Datos!W16)/Datos!W16," - ")</f>
        <v>-2.7777777777777776E-2</v>
      </c>
      <c r="I16" s="349">
        <f>IF(ISNUMBER((Tasas!C16-Datos!BE16)/Datos!BE16),(Tasas!C16-Datos!BE16)/Datos!BE16," - ")</f>
        <v>0.43586136151492622</v>
      </c>
      <c r="J16" s="348">
        <f>IF(ISNUMBER((Tasas!D16-Datos!BF16)/Datos!BF16),(Tasas!D16-Datos!BF16)/Datos!BF16," - ")</f>
        <v>1.5811812529890036E-2</v>
      </c>
      <c r="K16" s="350">
        <f>IF(ISNUMBER((Tasas!E16-Datos!BG16)/Datos!BG16),(Tasas!E16-Datos!BG16)/Datos!BG16," - ")</f>
        <v>0.13648287858802685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-0.88235294117647056</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-0.84615384615384615</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-1</v>
      </c>
      <c r="J17" s="348" t="str">
        <f>IF(ISNUMBER((Tasas!D17-Datos!BF17)/Datos!BF17),(Tasas!D17-Datos!BF17)/Datos!BF17," - ")</f>
        <v xml:space="preserve"> - </v>
      </c>
      <c r="K17" s="350">
        <f>IF(ISNUMBER((Tasas!E17-Datos!BG17)/Datos!BG17),(Tasas!E17-Datos!BG17)/Datos!BG17," - ")</f>
        <v>-0.35000000000000003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0.35852911133810011</v>
      </c>
      <c r="E18" s="353">
        <f>IF(ISNUMBER(
   IF(D_I="SI",(Datos!J18-Datos!T18)/Datos!T18,(Datos!J18+Datos!AD18-(Datos!T18+Datos!AL18))/(Datos!T18+Datos!AL18))
     ),IF(D_I="SI",(Datos!J18-Datos!T18)/Datos!T18,(Datos!J18+Datos!AD18-(Datos!T18+Datos!AL18))/(Datos!T18+Datos!AL18))," - ")</f>
        <v>9.1407678244972577E-4</v>
      </c>
      <c r="F18" s="353">
        <f>IF(ISNUMBER(
   IF(D_I="SI",(Datos!K18-Datos!U18)/Datos!U18,(Datos!K18+Datos!AE18-(Datos!U18+Datos!AM18))/(Datos!U18+Datos!AM18))
     ),IF(D_I="SI",(Datos!K18-Datos!U18)/Datos!U18,(Datos!K18+Datos!AE18-(Datos!U18+Datos!AM18))/(Datos!U18+Datos!AM18))," - ")</f>
        <v>-4.6479835953520163E-2</v>
      </c>
      <c r="G18" s="354">
        <f>IF(ISNUMBER(
   IF(D_I="SI",(Datos!L18-Datos!V18)/Datos!V18,(Datos!L18+Datos!AF18-(Datos!V18+Datos!AN18))/(Datos!V18+Datos!AN18))
     ),IF(D_I="SI",(Datos!L18-Datos!V18)/Datos!V18,(Datos!L18+Datos!AF18-(Datos!V18+Datos!AN18))/(Datos!V18+Datos!AN18))," - ")</f>
        <v>0.37218045112781956</v>
      </c>
      <c r="H18" s="355">
        <f>IF(ISNUMBER((Datos!M18-Datos!W18)/Datos!W18),(Datos!M18-Datos!W18)/Datos!W18," - ")</f>
        <v>-2.7777777777777776E-2</v>
      </c>
      <c r="I18" s="356">
        <f>IF(ISNUMBER((Tasas!C18-Datos!BE18)/Datos!BE18),(Tasas!C18-Datos!BE18)/Datos!BE18," - ")</f>
        <v>0.43906810035842303</v>
      </c>
      <c r="J18" s="354">
        <f>IF(ISNUMBER((Tasas!D18-Datos!BF18)/Datos!BF18),(Tasas!D18-Datos!BF18)/Datos!BF18," - ")</f>
        <v>1.9613699721226559E-2</v>
      </c>
      <c r="K18" s="357">
        <f>IF(ISNUMBER((Tasas!E18-Datos!BG18)/Datos!BG18),(Tasas!E18-Datos!BG18)/Datos!BG18," - ")</f>
        <v>0.13587434251976124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0.15412272291466922</v>
      </c>
      <c r="E19" s="362">
        <f>IF(ISNUMBER(
   IF(J_V="SI",(Datos!J19-Datos!T19)/Datos!T19,(Datos!J19+Datos!Z19-(Datos!T19+Datos!AH19))/(Datos!T19+Datos!AH19))
     ),IF(J_V="SI",(Datos!J19-Datos!T19)/Datos!T19,(Datos!J19+Datos!Z19-(Datos!T19+Datos!AH19))/(Datos!T19+Datos!AH19))," - ")</f>
        <v>-5.2662307333021956E-2</v>
      </c>
      <c r="F19" s="362">
        <f>IF(ISNUMBER(
   IF(J_V="SI",(Datos!K19-Datos!U19)/Datos!U19,(Datos!K19+Datos!AA19-(Datos!U19+Datos!AI19))/(Datos!U19+Datos!AI19))
     ),IF(J_V="SI",(Datos!K19-Datos!U19)/Datos!U19,(Datos!K19+Datos!AA19-(Datos!U19+Datos!AI19))/(Datos!U19+Datos!AI19))," - ")</f>
        <v>-5.9299191374663072E-2</v>
      </c>
      <c r="G19" s="363">
        <f>IF(ISNUMBER(
   IF(J_V="SI",(Datos!L19-Datos!V19)/Datos!V19,(Datos!L19+Datos!AB19-(Datos!V19+Datos!AJ19))/(Datos!V19+Datos!AJ19))
     ),IF(J_V="SI",(Datos!L19-Datos!V19)/Datos!V19,(Datos!L19+Datos!AB19-(Datos!V19+Datos!AJ19))/(Datos!V19+Datos!AJ19))," - ")</f>
        <v>0.16282450674974039</v>
      </c>
      <c r="H19" s="364">
        <f>IF(ISNUMBER((Datos!M19-Datos!W19)/Datos!W19),(Datos!M19-Datos!W19)/Datos!W19," - ")</f>
        <v>-2.9585798816568047E-3</v>
      </c>
      <c r="I19" s="361">
        <f>IF(ISNUMBER((Tasas!C19-Datos!BE19)/Datos!BE19),(Tasas!C19-Datos!BE19)/Datos!BE19," - ")</f>
        <v>0.23612576505488153</v>
      </c>
      <c r="J19" s="362">
        <f>IF(ISNUMBER((Tasas!D19-Datos!BF19)/Datos!BF19),(Tasas!D19-Datos!BF19)/Datos!BF19," - ")</f>
        <v>0.17714201426701856</v>
      </c>
      <c r="K19" s="363">
        <f>IF(ISNUMBER((Tasas!E19-Datos!BG19)/Datos!BG19),(Tasas!E19-Datos!BG19)/Datos!BG19," - ")</f>
        <v>7.9062936458798208E-2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0.75829104909914036</v>
      </c>
      <c r="E21" s="277">
        <f t="shared" si="1"/>
        <v>0.57814254705551438</v>
      </c>
      <c r="F21" s="277">
        <f t="shared" si="1"/>
        <v>0.46272565426953965</v>
      </c>
      <c r="G21" s="278">
        <f t="shared" si="1"/>
        <v>0.79282598394670922</v>
      </c>
      <c r="H21" s="284">
        <f t="shared" si="1"/>
        <v>1.7422040497128994E-2</v>
      </c>
      <c r="I21" s="276">
        <f t="shared" si="1"/>
        <v>0.59722235736259432</v>
      </c>
      <c r="J21" s="277">
        <f t="shared" si="1"/>
        <v>0.11820531490801643</v>
      </c>
      <c r="K21" s="278">
        <f t="shared" si="1"/>
        <v>0.20296596246451878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rSx1ACq1AV2HF1E9FqUAn3RMORNCqEwWHN7BUadQRud19Agq8CA4YXLUdy48B99tosaAxEOsNaXTKkvI2x2LQ==" saltValue="rc4fX3+uLR9rn+mM9YOI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